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2026" sheetId="2" state="visible" r:id="rId2"/>
    <sheet name="2027"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dddd, mmmm d, yyyy"/>
    <numFmt numFmtId="166" formatCode="0.0%"/>
  </numFmts>
  <fonts count="12">
    <font>
      <name val="Calibri"/>
      <family val="2"/>
      <color theme="1"/>
      <sz val="11"/>
      <scheme val="minor"/>
    </font>
    <font>
      <b val="1"/>
      <color rgb="00101D33"/>
      <sz val="14"/>
    </font>
    <font>
      <b val="1"/>
      <color rgb="00101D33"/>
    </font>
    <font>
      <b val="1"/>
      <sz val="11"/>
    </font>
    <font>
      <i val="1"/>
      <color rgb="0067718A"/>
    </font>
    <font>
      <sz val="11"/>
    </font>
    <font>
      <b val="1"/>
      <color rgb="00101D33"/>
      <sz val="12"/>
    </font>
    <font>
      <color rgb="0067718A"/>
      <sz val="8"/>
    </font>
    <font>
      <name val="Courier New"/>
      <sz val="11"/>
    </font>
    <font>
      <b val="1"/>
      <color rgb="00FFFFFF"/>
    </font>
    <font>
      <color rgb="0044506A"/>
      <sz val="9"/>
    </font>
    <font>
      <b val="1"/>
    </font>
  </fonts>
  <fills count="7">
    <fill>
      <patternFill/>
    </fill>
    <fill>
      <patternFill patternType="gray125"/>
    </fill>
    <fill>
      <patternFill patternType="solid">
        <fgColor rgb="00FFF6D6"/>
      </patternFill>
    </fill>
    <fill>
      <patternFill patternType="solid">
        <fgColor rgb="00FBD9BF"/>
      </patternFill>
    </fill>
    <fill>
      <patternFill patternType="solid">
        <fgColor rgb="00CFE0F5"/>
      </patternFill>
    </fill>
    <fill>
      <patternFill patternType="solid">
        <fgColor rgb="0016294B"/>
      </patternFill>
    </fill>
    <fill>
      <patternFill patternType="solid">
        <fgColor rgb="00F3F1EC"/>
      </patternFill>
    </fill>
  </fills>
  <borders count="4">
    <border>
      <left/>
      <right/>
      <top/>
      <bottom/>
      <diagonal/>
    </border>
    <border>
      <left style="thin">
        <color rgb="00C9CFDB"/>
      </left>
      <right style="thin">
        <color rgb="00C9CFDB"/>
      </right>
      <top style="thin">
        <color rgb="00C9CFDB"/>
      </top>
      <bottom style="thin">
        <color rgb="00C9CFDB"/>
      </bottom>
    </border>
    <border>
      <left style="thin">
        <color rgb="00C9CFDB"/>
      </left>
      <right style="thin">
        <color rgb="00C9CFDB"/>
      </right>
      <top style="thin">
        <color rgb="00C9CFDB"/>
      </top>
    </border>
    <border>
      <left style="thin">
        <color rgb="00C9CFDB"/>
      </left>
      <right style="thin">
        <color rgb="00C9CFDB"/>
      </right>
      <bottom style="thin">
        <color rgb="00C9CFDB"/>
      </bottom>
    </border>
  </borders>
  <cellStyleXfs count="1">
    <xf numFmtId="0" fontId="0" fillId="0" borderId="0"/>
  </cellStyleXfs>
  <cellXfs count="2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165" fontId="3" fillId="2" borderId="1" pivotButton="0" quotePrefix="0" xfId="0"/>
    <xf numFmtId="0" fontId="4" fillId="0" borderId="0" applyAlignment="1" pivotButton="0" quotePrefix="0" xfId="0">
      <alignment vertical="top" wrapText="1"/>
    </xf>
    <xf numFmtId="0" fontId="3" fillId="2" borderId="1" pivotButton="0" quotePrefix="0" xfId="0"/>
    <xf numFmtId="0" fontId="2" fillId="3" borderId="0" pivotButton="0" quotePrefix="0" xfId="0"/>
    <xf numFmtId="0" fontId="5" fillId="0" borderId="1" pivotButton="0" quotePrefix="0" xfId="0"/>
    <xf numFmtId="0" fontId="2" fillId="4" borderId="0" pivotButton="0" quotePrefix="0" xfId="0"/>
    <xf numFmtId="0" fontId="6" fillId="0" borderId="0" pivotButton="0" quotePrefix="0" xfId="0"/>
    <xf numFmtId="0" fontId="7" fillId="0" borderId="0" pivotButton="0" quotePrefix="0" xfId="0"/>
    <xf numFmtId="0" fontId="3" fillId="0" borderId="1" applyAlignment="1" pivotButton="0" quotePrefix="0" xfId="0">
      <alignment horizontal="center"/>
    </xf>
    <xf numFmtId="0" fontId="8" fillId="0" borderId="0" pivotButton="0" quotePrefix="0" xfId="0"/>
    <xf numFmtId="166" fontId="0" fillId="0" borderId="0" pivotButton="0" quotePrefix="0" xfId="0"/>
    <xf numFmtId="0" fontId="4" fillId="0" borderId="0" pivotButton="0" quotePrefix="0" xfId="0"/>
    <xf numFmtId="0" fontId="9" fillId="5" borderId="0" pivotButton="0" quotePrefix="0" xfId="0"/>
    <xf numFmtId="0" fontId="0" fillId="5" borderId="0" pivotButton="0" quotePrefix="0" xfId="0"/>
    <xf numFmtId="0" fontId="2" fillId="0" borderId="1" applyAlignment="1" pivotButton="0" quotePrefix="0" xfId="0">
      <alignment horizontal="center"/>
    </xf>
    <xf numFmtId="0" fontId="7" fillId="6" borderId="2" applyAlignment="1" pivotButton="0" quotePrefix="0" xfId="0">
      <alignment horizontal="left" vertical="top"/>
    </xf>
    <xf numFmtId="0" fontId="7" fillId="0" borderId="2" applyAlignment="1" pivotButton="0" quotePrefix="0" xfId="0">
      <alignment horizontal="left" vertical="top"/>
    </xf>
    <xf numFmtId="0" fontId="0" fillId="6" borderId="3" applyAlignment="1" pivotButton="0" quotePrefix="0" xfId="0">
      <alignment horizontal="center" vertical="center"/>
    </xf>
    <xf numFmtId="0" fontId="3" fillId="0" borderId="3" applyAlignment="1" pivotButton="0" quotePrefix="0" xfId="0">
      <alignment horizontal="center" vertical="center"/>
    </xf>
    <xf numFmtId="0" fontId="10" fillId="0" borderId="0" pivotButton="0" quotePrefix="0" xfId="0"/>
    <xf numFmtId="0" fontId="11" fillId="0" borderId="0" pivotButton="0" quotePrefix="0" xfId="0"/>
  </cellXfs>
  <cellStyles count="1">
    <cellStyle name="Normal" xfId="0" builtinId="0" hidden="0"/>
  </cellStyles>
  <dxfs count="2">
    <dxf>
      <fill>
        <patternFill patternType="solid">
          <fgColor rgb="00FBD9BF"/>
        </patternFill>
      </fill>
    </dxf>
    <dxf>
      <fill>
        <patternFill patternType="solid">
          <fgColor rgb="00CFE0F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2" customWidth="1" min="1" max="1"/>
    <col width="30" customWidth="1" min="2" max="2"/>
    <col width="40" customWidth="1" min="3" max="3"/>
    <col width="12" customWidth="1" min="4" max="4"/>
    <col width="12" customWidth="1" min="5" max="5"/>
    <col width="12" customWidth="1" min="6" max="6"/>
    <col width="12" customWidth="1" min="7" max="7"/>
  </cols>
  <sheetData>
    <row r="1">
      <c r="A1" s="1" t="inlineStr">
        <is>
          <t>Every Other Weekend Custody Calendar 2026–2027</t>
        </is>
      </c>
    </row>
    <row r="2" ht="48" customHeight="1">
      <c r="A2" s="2" t="inlineStr">
        <is>
          <t>An every other weekend custody calendar for 2026 and 2027, already filled in from an example start date. Each letter is the parent the child sleeps at that night. Set your own start date, the nights that make up a weekend, and who is A or B in the spreadsheet, and follow your own order or agreement.</t>
        </is>
      </c>
    </row>
    <row r="3" ht="40" customHeight="1">
      <c r="A3" s="2" t="inlineStr">
        <is>
          <t>A 14-night cycle where B has Friday and Saturday night every second weekend and A has the other 12 nights. If a weekend in your order includes Sunday night, change the pattern to AAAABBBAAAAAAA in the spreadsheet; add any midweek overnights the same way.</t>
        </is>
      </c>
    </row>
    <row r="5">
      <c r="A5" s="3" t="inlineStr">
        <is>
          <t>Cycle start date (night 1)</t>
        </is>
      </c>
      <c r="B5" s="4" t="n">
        <v>46027</v>
      </c>
      <c r="C5" s="5" t="inlineStr">
        <is>
          <t>Example date. Type your own (a real date, e.g. 3/2/2026).</t>
        </is>
      </c>
    </row>
    <row r="6">
      <c r="A6" s="3" t="inlineStr">
        <is>
          <t>Pattern (one letter per night)</t>
        </is>
      </c>
      <c r="B6" s="6" t="inlineStr">
        <is>
          <t>AAAABBAAAAAAAA</t>
        </is>
      </c>
      <c r="C6" s="5" t="inlineStr">
        <is>
          <t>A or B for each night from the start date; it repeats. Spaces are ignored.</t>
        </is>
      </c>
    </row>
    <row r="7">
      <c r="A7" s="7" t="inlineStr">
        <is>
          <t>A =</t>
        </is>
      </c>
      <c r="B7" s="8" t="inlineStr"/>
      <c r="C7" s="5" t="inlineStr">
        <is>
          <t>Type the parent’s name (orange)</t>
        </is>
      </c>
    </row>
    <row r="8">
      <c r="A8" s="9" t="inlineStr">
        <is>
          <t>B =</t>
        </is>
      </c>
      <c r="B8" s="8" t="inlineStr"/>
      <c r="C8" s="5" t="inlineStr">
        <is>
          <t>Type the parent’s name (blue)</t>
        </is>
      </c>
    </row>
    <row r="9">
      <c r="A9" s="3" t="inlineStr">
        <is>
          <t>Exchange day, time and place</t>
        </is>
      </c>
      <c r="B9" s="8" t="inlineStr"/>
      <c r="C9" s="5" t="inlineStr"/>
    </row>
    <row r="10">
      <c r="A10" s="3" t="inlineStr">
        <is>
          <t>Holidays and school breaks</t>
        </is>
      </c>
      <c r="B10" s="8" t="inlineStr"/>
      <c r="C10" s="5" t="inlineStr"/>
    </row>
    <row r="11">
      <c r="A11" s="3" t="inlineStr">
        <is>
          <t>Agreed swaps (date agreed)</t>
        </is>
      </c>
      <c r="B11" s="8" t="inlineStr"/>
      <c r="C11" s="5" t="inlineStr"/>
    </row>
    <row r="13">
      <c r="A13" s="10" t="inlineStr">
        <is>
          <t>First 14 nights from the start date</t>
        </is>
      </c>
    </row>
    <row r="14">
      <c r="A14" s="11">
        <f>IF($B$5="","",TEXT($B$5+0,"ddd mmm d"))</f>
        <v/>
      </c>
      <c r="B14" s="11">
        <f>IF($B$5="","",TEXT($B$5+1,"ddd mmm d"))</f>
        <v/>
      </c>
      <c r="C14" s="11">
        <f>IF($B$5="","",TEXT($B$5+2,"ddd mmm d"))</f>
        <v/>
      </c>
      <c r="D14" s="11">
        <f>IF($B$5="","",TEXT($B$5+3,"ddd mmm d"))</f>
        <v/>
      </c>
      <c r="E14" s="11">
        <f>IF($B$5="","",TEXT($B$5+4,"ddd mmm d"))</f>
        <v/>
      </c>
      <c r="F14" s="11">
        <f>IF($B$5="","",TEXT($B$5+5,"ddd mmm d"))</f>
        <v/>
      </c>
      <c r="G14" s="11">
        <f>IF($B$5="","",TEXT($B$5+6,"ddd mmm d"))</f>
        <v/>
      </c>
    </row>
    <row r="15">
      <c r="A15" s="12">
        <f>IF(OR($B$5="",UPPER(SUBSTITUTE($B$6," ",""))=""),"",MID(UPPER(SUBSTITUTE($B$6," ","")),MOD(0,LEN(UPPER(SUBSTITUTE($B$6," ",""))))+1,1))</f>
        <v/>
      </c>
      <c r="B15" s="12">
        <f>IF(OR($B$5="",UPPER(SUBSTITUTE($B$6," ",""))=""),"",MID(UPPER(SUBSTITUTE($B$6," ","")),MOD(1,LEN(UPPER(SUBSTITUTE($B$6," ",""))))+1,1))</f>
        <v/>
      </c>
      <c r="C15" s="12">
        <f>IF(OR($B$5="",UPPER(SUBSTITUTE($B$6," ",""))=""),"",MID(UPPER(SUBSTITUTE($B$6," ","")),MOD(2,LEN(UPPER(SUBSTITUTE($B$6," ",""))))+1,1))</f>
        <v/>
      </c>
      <c r="D15" s="12">
        <f>IF(OR($B$5="",UPPER(SUBSTITUTE($B$6," ",""))=""),"",MID(UPPER(SUBSTITUTE($B$6," ","")),MOD(3,LEN(UPPER(SUBSTITUTE($B$6," ",""))))+1,1))</f>
        <v/>
      </c>
      <c r="E15" s="12">
        <f>IF(OR($B$5="",UPPER(SUBSTITUTE($B$6," ",""))=""),"",MID(UPPER(SUBSTITUTE($B$6," ","")),MOD(4,LEN(UPPER(SUBSTITUTE($B$6," ",""))))+1,1))</f>
        <v/>
      </c>
      <c r="F15" s="12">
        <f>IF(OR($B$5="",UPPER(SUBSTITUTE($B$6," ",""))=""),"",MID(UPPER(SUBSTITUTE($B$6," ","")),MOD(5,LEN(UPPER(SUBSTITUTE($B$6," ",""))))+1,1))</f>
        <v/>
      </c>
      <c r="G15" s="12">
        <f>IF(OR($B$5="",UPPER(SUBSTITUTE($B$6," ",""))=""),"",MID(UPPER(SUBSTITUTE($B$6," ","")),MOD(6,LEN(UPPER(SUBSTITUTE($B$6," ",""))))+1,1))</f>
        <v/>
      </c>
    </row>
    <row r="16">
      <c r="A16" s="11">
        <f>IF($B$5="","",TEXT($B$5+7,"ddd mmm d"))</f>
        <v/>
      </c>
      <c r="B16" s="11">
        <f>IF($B$5="","",TEXT($B$5+8,"ddd mmm d"))</f>
        <v/>
      </c>
      <c r="C16" s="11">
        <f>IF($B$5="","",TEXT($B$5+9,"ddd mmm d"))</f>
        <v/>
      </c>
      <c r="D16" s="11">
        <f>IF($B$5="","",TEXT($B$5+10,"ddd mmm d"))</f>
        <v/>
      </c>
      <c r="E16" s="11">
        <f>IF($B$5="","",TEXT($B$5+11,"ddd mmm d"))</f>
        <v/>
      </c>
      <c r="F16" s="11">
        <f>IF($B$5="","",TEXT($B$5+12,"ddd mmm d"))</f>
        <v/>
      </c>
      <c r="G16" s="11">
        <f>IF($B$5="","",TEXT($B$5+13,"ddd mmm d"))</f>
        <v/>
      </c>
    </row>
    <row r="17">
      <c r="A17" s="12">
        <f>IF(OR($B$5="",UPPER(SUBSTITUTE($B$6," ",""))=""),"",MID(UPPER(SUBSTITUTE($B$6," ","")),MOD(7,LEN(UPPER(SUBSTITUTE($B$6," ",""))))+1,1))</f>
        <v/>
      </c>
      <c r="B17" s="12">
        <f>IF(OR($B$5="",UPPER(SUBSTITUTE($B$6," ",""))=""),"",MID(UPPER(SUBSTITUTE($B$6," ","")),MOD(8,LEN(UPPER(SUBSTITUTE($B$6," ",""))))+1,1))</f>
        <v/>
      </c>
      <c r="C17" s="12">
        <f>IF(OR($B$5="",UPPER(SUBSTITUTE($B$6," ",""))=""),"",MID(UPPER(SUBSTITUTE($B$6," ","")),MOD(9,LEN(UPPER(SUBSTITUTE($B$6," ",""))))+1,1))</f>
        <v/>
      </c>
      <c r="D17" s="12">
        <f>IF(OR($B$5="",UPPER(SUBSTITUTE($B$6," ",""))=""),"",MID(UPPER(SUBSTITUTE($B$6," ","")),MOD(10,LEN(UPPER(SUBSTITUTE($B$6," ",""))))+1,1))</f>
        <v/>
      </c>
      <c r="E17" s="12">
        <f>IF(OR($B$5="",UPPER(SUBSTITUTE($B$6," ",""))=""),"",MID(UPPER(SUBSTITUTE($B$6," ","")),MOD(11,LEN(UPPER(SUBSTITUTE($B$6," ",""))))+1,1))</f>
        <v/>
      </c>
      <c r="F17" s="12">
        <f>IF(OR($B$5="",UPPER(SUBSTITUTE($B$6," ",""))=""),"",MID(UPPER(SUBSTITUTE($B$6," ","")),MOD(12,LEN(UPPER(SUBSTITUTE($B$6," ",""))))+1,1))</f>
        <v/>
      </c>
      <c r="G17" s="12">
        <f>IF(OR($B$5="",UPPER(SUBSTITUTE($B$6," ",""))=""),"",MID(UPPER(SUBSTITUTE($B$6," ","")),MOD(13,LEN(UPPER(SUBSTITUTE($B$6," ",""))))+1,1))</f>
        <v/>
      </c>
    </row>
    <row r="19">
      <c r="A19" s="3" t="inlineStr">
        <is>
          <t>Other patterns you can paste into the pattern cell (examples of how the letters work, not suggestions)</t>
        </is>
      </c>
    </row>
    <row r="20" ht="30" customHeight="1">
      <c r="A20" s="2" t="inlineStr">
        <is>
          <t>2-2-3 (cycle starts on a Monday)</t>
        </is>
      </c>
      <c r="B20" s="13" t="inlineStr">
        <is>
          <t>AABBAAABBAABBB</t>
        </is>
      </c>
    </row>
    <row r="21" ht="30" customHeight="1">
      <c r="A21" s="2" t="inlineStr">
        <is>
          <t>Alternating weeks (7 and 7)</t>
        </is>
      </c>
      <c r="B21" s="13" t="inlineStr">
        <is>
          <t>AAAAAAABBBBBBB</t>
        </is>
      </c>
    </row>
    <row r="22" ht="30" customHeight="1">
      <c r="A22" s="2" t="inlineStr">
        <is>
          <t>Every other weekend, Friday and Saturday nights (cycle starts on a Monday)</t>
        </is>
      </c>
      <c r="B22" s="13" t="inlineStr">
        <is>
          <t>AAAABBAAAAAAAA</t>
        </is>
      </c>
    </row>
    <row r="23" ht="30" customHeight="1">
      <c r="A23" s="2" t="inlineStr">
        <is>
          <t>Every other weekend, Friday to Sunday nights (cycle starts on a Monday)</t>
        </is>
      </c>
      <c r="B23" s="13" t="inlineStr">
        <is>
          <t>AAAABBBAAAAAAA</t>
        </is>
      </c>
    </row>
    <row r="25">
      <c r="A25" s="10" t="inlineStr">
        <is>
          <t>Read this first</t>
        </is>
      </c>
    </row>
    <row r="26" ht="45" customHeight="1">
      <c r="A26" s="2" t="inlineStr">
        <is>
          <t>•  This is an example. The letters start from the example start date shown on the key page. If your rotation starts on another date, or the other parent has the first stretch, use the spreadsheet: change the start date or swap the letters and every night re-fills.</t>
        </is>
      </c>
    </row>
    <row r="27" ht="45" customHeight="1">
      <c r="A27" s="2" t="inlineStr">
        <is>
          <t>•  Mark nights, not days: each letter is the parent the child sleeps at that night. How overnights are counted can differ by order or court.</t>
        </is>
      </c>
    </row>
    <row r="28" ht="45" customHeight="1">
      <c r="A28" s="2" t="inlineStr">
        <is>
          <t>•  Holidays, school breaks and agreed swaps usually change some nights. Write them on the key page or over the letter in the spreadsheet.</t>
        </is>
      </c>
    </row>
    <row r="29" ht="45" customHeight="1">
      <c r="A29" s="2" t="inlineStr">
        <is>
          <t>•  Your order, parenting plan or local rules control. This calendar doesn’t say which schedule to choose or how a court decides.</t>
        </is>
      </c>
    </row>
    <row r="31" ht="45" customHeight="1">
      <c r="A31" s="2" t="inlineStr">
        <is>
          <t>General template for organizing your own information. It is not legal advice and not a court-approved form. Court rules and required forms vary by state and county, so check your court's local rules and self-help center.</t>
        </is>
      </c>
    </row>
    <row r="32" ht="32" customHeight="1">
      <c r="A32" s="2" t="inlineStr">
        <is>
          <t>Blank version, other years and the free parenting time calculator: custodycommander.com/templates/custody-calendar-template/ and custodycommander.com/tools/parenting-time-calculator/.</t>
        </is>
      </c>
    </row>
  </sheetData>
  <mergeCells count="8">
    <mergeCell ref="A27:D27"/>
    <mergeCell ref="A31:D31"/>
    <mergeCell ref="A26:D26"/>
    <mergeCell ref="A3:D3"/>
    <mergeCell ref="A29:D29"/>
    <mergeCell ref="A2:D2"/>
    <mergeCell ref="A28:D28"/>
    <mergeCell ref="A32:D32"/>
  </mergeCells>
  <conditionalFormatting sqref="A15:G15">
    <cfRule type="cellIs" priority="1" operator="equal" dxfId="0">
      <formula>"A"</formula>
    </cfRule>
    <cfRule type="cellIs" priority="2" operator="equal" dxfId="1">
      <formula>"B"</formula>
    </cfRule>
  </conditionalFormatting>
  <conditionalFormatting sqref="A17:G17">
    <cfRule type="cellIs" priority="3" operator="equal" dxfId="0">
      <formula>"A"</formula>
    </cfRule>
    <cfRule type="cellIs" priority="4" operator="equal" dxfId="1">
      <formula>"B"</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W66"/>
  <sheetViews>
    <sheetView workbookViewId="0">
      <selection activeCell="A1" sqref="A1"/>
    </sheetView>
  </sheetViews>
  <sheetFormatPr baseColWidth="8" defaultRowHeight="15"/>
  <cols>
    <col width="4.6" customWidth="1" min="1" max="1"/>
    <col width="4.6" customWidth="1" min="2" max="2"/>
    <col width="4.6" customWidth="1" min="3" max="3"/>
    <col width="4.6" customWidth="1" min="4" max="4"/>
    <col width="4.6" customWidth="1" min="5" max="5"/>
    <col width="4.6" customWidth="1" min="6" max="6"/>
    <col width="4.6" customWidth="1" min="7" max="7"/>
    <col width="2.5"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2.5" customWidth="1" min="16" max="16"/>
    <col width="4.6" customWidth="1" min="17" max="17"/>
    <col width="4.6" customWidth="1" min="18" max="18"/>
    <col width="4.6" customWidth="1" min="19" max="19"/>
    <col width="4.6" customWidth="1" min="20" max="20"/>
    <col width="4.6" customWidth="1" min="21" max="21"/>
    <col width="4.6" customWidth="1" min="22" max="22"/>
    <col width="4.6" customWidth="1" min="23" max="23"/>
  </cols>
  <sheetData>
    <row r="1">
      <c r="A1" s="1" t="inlineStr">
        <is>
          <t>2026 every other weekend custody calendar</t>
        </is>
      </c>
      <c r="Q1" s="3" t="inlineStr">
        <is>
          <t>2026 nights A</t>
        </is>
      </c>
      <c r="S1">
        <f>C18+K18+S18+C34+K34+S34+C50+K50+S50+C66+K66+S66</f>
        <v/>
      </c>
      <c r="U1" s="3" t="inlineStr">
        <is>
          <t>Share A</t>
        </is>
      </c>
      <c r="W1" s="14">
        <f>IF(S1+S2=0,"",S1/(S1+S2))</f>
        <v/>
      </c>
    </row>
    <row r="2">
      <c r="A2" s="15" t="inlineStr">
        <is>
          <t>Filled in from the start date and pattern on the Start here sheet. To record a swap, type A or B over a night (that cell stops following the pattern).</t>
        </is>
      </c>
      <c r="Q2" s="3" t="inlineStr">
        <is>
          <t>2026 nights B</t>
        </is>
      </c>
      <c r="S2">
        <f>F18+N18+V18+F34+N34+V34+F50+N50+V50+F66+N66+V66</f>
        <v/>
      </c>
      <c r="U2" s="3" t="inlineStr">
        <is>
          <t>Share B</t>
        </is>
      </c>
      <c r="W2" s="14">
        <f>IF(S1+S2=0,"",S2/(S1+S2))</f>
        <v/>
      </c>
    </row>
    <row r="4">
      <c r="A4" s="16" t="inlineStr">
        <is>
          <t>January 2026</t>
        </is>
      </c>
      <c r="B4" s="17" t="n"/>
      <c r="C4" s="17" t="n"/>
      <c r="D4" s="17" t="n"/>
      <c r="E4" s="17" t="n"/>
      <c r="F4" s="17" t="n"/>
      <c r="G4" s="17" t="n"/>
      <c r="I4" s="16" t="inlineStr">
        <is>
          <t>February 2026</t>
        </is>
      </c>
      <c r="J4" s="17" t="n"/>
      <c r="K4" s="17" t="n"/>
      <c r="L4" s="17" t="n"/>
      <c r="M4" s="17" t="n"/>
      <c r="N4" s="17" t="n"/>
      <c r="O4" s="17" t="n"/>
      <c r="Q4" s="16" t="inlineStr">
        <is>
          <t>March 2026</t>
        </is>
      </c>
      <c r="R4" s="17" t="n"/>
      <c r="S4" s="17" t="n"/>
      <c r="T4" s="17" t="n"/>
      <c r="U4" s="17" t="n"/>
      <c r="V4" s="17" t="n"/>
      <c r="W4" s="17" t="n"/>
    </row>
    <row r="5">
      <c r="A5" s="18" t="inlineStr">
        <is>
          <t>S</t>
        </is>
      </c>
      <c r="B5" s="18" t="inlineStr">
        <is>
          <t>M</t>
        </is>
      </c>
      <c r="C5" s="18" t="inlineStr">
        <is>
          <t>T</t>
        </is>
      </c>
      <c r="D5" s="18" t="inlineStr">
        <is>
          <t>W</t>
        </is>
      </c>
      <c r="E5" s="18" t="inlineStr">
        <is>
          <t>T</t>
        </is>
      </c>
      <c r="F5" s="18" t="inlineStr">
        <is>
          <t>F</t>
        </is>
      </c>
      <c r="G5" s="18" t="inlineStr">
        <is>
          <t>S</t>
        </is>
      </c>
      <c r="I5" s="18" t="inlineStr">
        <is>
          <t>S</t>
        </is>
      </c>
      <c r="J5" s="18" t="inlineStr">
        <is>
          <t>M</t>
        </is>
      </c>
      <c r="K5" s="18" t="inlineStr">
        <is>
          <t>T</t>
        </is>
      </c>
      <c r="L5" s="18" t="inlineStr">
        <is>
          <t>W</t>
        </is>
      </c>
      <c r="M5" s="18" t="inlineStr">
        <is>
          <t>T</t>
        </is>
      </c>
      <c r="N5" s="18" t="inlineStr">
        <is>
          <t>F</t>
        </is>
      </c>
      <c r="O5" s="18" t="inlineStr">
        <is>
          <t>S</t>
        </is>
      </c>
      <c r="Q5" s="18" t="inlineStr">
        <is>
          <t>S</t>
        </is>
      </c>
      <c r="R5" s="18" t="inlineStr">
        <is>
          <t>M</t>
        </is>
      </c>
      <c r="S5" s="18" t="inlineStr">
        <is>
          <t>T</t>
        </is>
      </c>
      <c r="T5" s="18" t="inlineStr">
        <is>
          <t>W</t>
        </is>
      </c>
      <c r="U5" s="18" t="inlineStr">
        <is>
          <t>T</t>
        </is>
      </c>
      <c r="V5" s="18" t="inlineStr">
        <is>
          <t>F</t>
        </is>
      </c>
      <c r="W5" s="18" t="inlineStr">
        <is>
          <t>S</t>
        </is>
      </c>
    </row>
    <row r="6">
      <c r="A6" s="19" t="n"/>
      <c r="B6" s="19" t="n"/>
      <c r="C6" s="19" t="n"/>
      <c r="D6" s="19" t="n"/>
      <c r="E6" s="20" t="n">
        <v>1</v>
      </c>
      <c r="F6" s="20" t="n">
        <v>2</v>
      </c>
      <c r="G6" s="20" t="n">
        <v>3</v>
      </c>
      <c r="I6" s="20" t="n">
        <v>1</v>
      </c>
      <c r="J6" s="20" t="n">
        <v>2</v>
      </c>
      <c r="K6" s="20" t="n">
        <v>3</v>
      </c>
      <c r="L6" s="20" t="n">
        <v>4</v>
      </c>
      <c r="M6" s="20" t="n">
        <v>5</v>
      </c>
      <c r="N6" s="20" t="n">
        <v>6</v>
      </c>
      <c r="O6" s="20" t="n">
        <v>7</v>
      </c>
      <c r="Q6" s="20" t="n">
        <v>1</v>
      </c>
      <c r="R6" s="20" t="n">
        <v>2</v>
      </c>
      <c r="S6" s="20" t="n">
        <v>3</v>
      </c>
      <c r="T6" s="20" t="n">
        <v>4</v>
      </c>
      <c r="U6" s="20" t="n">
        <v>5</v>
      </c>
      <c r="V6" s="20" t="n">
        <v>6</v>
      </c>
      <c r="W6" s="20" t="n">
        <v>7</v>
      </c>
    </row>
    <row r="7">
      <c r="A7" s="21" t="n"/>
      <c r="B7" s="21" t="n"/>
      <c r="C7" s="21" t="n"/>
      <c r="D7" s="21" t="n"/>
      <c r="E7" s="22">
        <f>IF(OR('Start here'!$B$5="",UPPER(SUBSTITUTE('Start here'!$B$6," ",""))=""),"",MID(UPPER(SUBSTITUTE('Start here'!$B$6," ","")),MOD(DATE(2026,1,1)-'Start here'!$B$5,LEN(UPPER(SUBSTITUTE('Start here'!$B$6," ",""))))+1,1))</f>
        <v/>
      </c>
      <c r="F7" s="22">
        <f>IF(OR('Start here'!$B$5="",UPPER(SUBSTITUTE('Start here'!$B$6," ",""))=""),"",MID(UPPER(SUBSTITUTE('Start here'!$B$6," ","")),MOD(DATE(2026,1,2)-'Start here'!$B$5,LEN(UPPER(SUBSTITUTE('Start here'!$B$6," ",""))))+1,1))</f>
        <v/>
      </c>
      <c r="G7" s="22">
        <f>IF(OR('Start here'!$B$5="",UPPER(SUBSTITUTE('Start here'!$B$6," ",""))=""),"",MID(UPPER(SUBSTITUTE('Start here'!$B$6," ","")),MOD(DATE(2026,1,3)-'Start here'!$B$5,LEN(UPPER(SUBSTITUTE('Start here'!$B$6," ",""))))+1,1))</f>
        <v/>
      </c>
      <c r="I7" s="22">
        <f>IF(OR('Start here'!$B$5="",UPPER(SUBSTITUTE('Start here'!$B$6," ",""))=""),"",MID(UPPER(SUBSTITUTE('Start here'!$B$6," ","")),MOD(DATE(2026,2,1)-'Start here'!$B$5,LEN(UPPER(SUBSTITUTE('Start here'!$B$6," ",""))))+1,1))</f>
        <v/>
      </c>
      <c r="J7" s="22">
        <f>IF(OR('Start here'!$B$5="",UPPER(SUBSTITUTE('Start here'!$B$6," ",""))=""),"",MID(UPPER(SUBSTITUTE('Start here'!$B$6," ","")),MOD(DATE(2026,2,2)-'Start here'!$B$5,LEN(UPPER(SUBSTITUTE('Start here'!$B$6," ",""))))+1,1))</f>
        <v/>
      </c>
      <c r="K7" s="22">
        <f>IF(OR('Start here'!$B$5="",UPPER(SUBSTITUTE('Start here'!$B$6," ",""))=""),"",MID(UPPER(SUBSTITUTE('Start here'!$B$6," ","")),MOD(DATE(2026,2,3)-'Start here'!$B$5,LEN(UPPER(SUBSTITUTE('Start here'!$B$6," ",""))))+1,1))</f>
        <v/>
      </c>
      <c r="L7" s="22">
        <f>IF(OR('Start here'!$B$5="",UPPER(SUBSTITUTE('Start here'!$B$6," ",""))=""),"",MID(UPPER(SUBSTITUTE('Start here'!$B$6," ","")),MOD(DATE(2026,2,4)-'Start here'!$B$5,LEN(UPPER(SUBSTITUTE('Start here'!$B$6," ",""))))+1,1))</f>
        <v/>
      </c>
      <c r="M7" s="22">
        <f>IF(OR('Start here'!$B$5="",UPPER(SUBSTITUTE('Start here'!$B$6," ",""))=""),"",MID(UPPER(SUBSTITUTE('Start here'!$B$6," ","")),MOD(DATE(2026,2,5)-'Start here'!$B$5,LEN(UPPER(SUBSTITUTE('Start here'!$B$6," ",""))))+1,1))</f>
        <v/>
      </c>
      <c r="N7" s="22">
        <f>IF(OR('Start here'!$B$5="",UPPER(SUBSTITUTE('Start here'!$B$6," ",""))=""),"",MID(UPPER(SUBSTITUTE('Start here'!$B$6," ","")),MOD(DATE(2026,2,6)-'Start here'!$B$5,LEN(UPPER(SUBSTITUTE('Start here'!$B$6," ",""))))+1,1))</f>
        <v/>
      </c>
      <c r="O7" s="22">
        <f>IF(OR('Start here'!$B$5="",UPPER(SUBSTITUTE('Start here'!$B$6," ",""))=""),"",MID(UPPER(SUBSTITUTE('Start here'!$B$6," ","")),MOD(DATE(2026,2,7)-'Start here'!$B$5,LEN(UPPER(SUBSTITUTE('Start here'!$B$6," ",""))))+1,1))</f>
        <v/>
      </c>
      <c r="Q7" s="22">
        <f>IF(OR('Start here'!$B$5="",UPPER(SUBSTITUTE('Start here'!$B$6," ",""))=""),"",MID(UPPER(SUBSTITUTE('Start here'!$B$6," ","")),MOD(DATE(2026,3,1)-'Start here'!$B$5,LEN(UPPER(SUBSTITUTE('Start here'!$B$6," ",""))))+1,1))</f>
        <v/>
      </c>
      <c r="R7" s="22">
        <f>IF(OR('Start here'!$B$5="",UPPER(SUBSTITUTE('Start here'!$B$6," ",""))=""),"",MID(UPPER(SUBSTITUTE('Start here'!$B$6," ","")),MOD(DATE(2026,3,2)-'Start here'!$B$5,LEN(UPPER(SUBSTITUTE('Start here'!$B$6," ",""))))+1,1))</f>
        <v/>
      </c>
      <c r="S7" s="22">
        <f>IF(OR('Start here'!$B$5="",UPPER(SUBSTITUTE('Start here'!$B$6," ",""))=""),"",MID(UPPER(SUBSTITUTE('Start here'!$B$6," ","")),MOD(DATE(2026,3,3)-'Start here'!$B$5,LEN(UPPER(SUBSTITUTE('Start here'!$B$6," ",""))))+1,1))</f>
        <v/>
      </c>
      <c r="T7" s="22">
        <f>IF(OR('Start here'!$B$5="",UPPER(SUBSTITUTE('Start here'!$B$6," ",""))=""),"",MID(UPPER(SUBSTITUTE('Start here'!$B$6," ","")),MOD(DATE(2026,3,4)-'Start here'!$B$5,LEN(UPPER(SUBSTITUTE('Start here'!$B$6," ",""))))+1,1))</f>
        <v/>
      </c>
      <c r="U7" s="22">
        <f>IF(OR('Start here'!$B$5="",UPPER(SUBSTITUTE('Start here'!$B$6," ",""))=""),"",MID(UPPER(SUBSTITUTE('Start here'!$B$6," ","")),MOD(DATE(2026,3,5)-'Start here'!$B$5,LEN(UPPER(SUBSTITUTE('Start here'!$B$6," ",""))))+1,1))</f>
        <v/>
      </c>
      <c r="V7" s="22">
        <f>IF(OR('Start here'!$B$5="",UPPER(SUBSTITUTE('Start here'!$B$6," ",""))=""),"",MID(UPPER(SUBSTITUTE('Start here'!$B$6," ","")),MOD(DATE(2026,3,6)-'Start here'!$B$5,LEN(UPPER(SUBSTITUTE('Start here'!$B$6," ",""))))+1,1))</f>
        <v/>
      </c>
      <c r="W7" s="22">
        <f>IF(OR('Start here'!$B$5="",UPPER(SUBSTITUTE('Start here'!$B$6," ",""))=""),"",MID(UPPER(SUBSTITUTE('Start here'!$B$6," ","")),MOD(DATE(2026,3,7)-'Start here'!$B$5,LEN(UPPER(SUBSTITUTE('Start here'!$B$6," ",""))))+1,1))</f>
        <v/>
      </c>
    </row>
    <row r="8">
      <c r="A8" s="20" t="n">
        <v>4</v>
      </c>
      <c r="B8" s="20" t="n">
        <v>5</v>
      </c>
      <c r="C8" s="20" t="n">
        <v>6</v>
      </c>
      <c r="D8" s="20" t="n">
        <v>7</v>
      </c>
      <c r="E8" s="20" t="n">
        <v>8</v>
      </c>
      <c r="F8" s="20" t="n">
        <v>9</v>
      </c>
      <c r="G8" s="20" t="n">
        <v>10</v>
      </c>
      <c r="I8" s="20" t="n">
        <v>8</v>
      </c>
      <c r="J8" s="20" t="n">
        <v>9</v>
      </c>
      <c r="K8" s="20" t="n">
        <v>10</v>
      </c>
      <c r="L8" s="20" t="n">
        <v>11</v>
      </c>
      <c r="M8" s="20" t="n">
        <v>12</v>
      </c>
      <c r="N8" s="20" t="n">
        <v>13</v>
      </c>
      <c r="O8" s="20" t="n">
        <v>14</v>
      </c>
      <c r="Q8" s="20" t="n">
        <v>8</v>
      </c>
      <c r="R8" s="20" t="n">
        <v>9</v>
      </c>
      <c r="S8" s="20" t="n">
        <v>10</v>
      </c>
      <c r="T8" s="20" t="n">
        <v>11</v>
      </c>
      <c r="U8" s="20" t="n">
        <v>12</v>
      </c>
      <c r="V8" s="20" t="n">
        <v>13</v>
      </c>
      <c r="W8" s="20" t="n">
        <v>14</v>
      </c>
    </row>
    <row r="9">
      <c r="A9" s="22">
        <f>IF(OR('Start here'!$B$5="",UPPER(SUBSTITUTE('Start here'!$B$6," ",""))=""),"",MID(UPPER(SUBSTITUTE('Start here'!$B$6," ","")),MOD(DATE(2026,1,4)-'Start here'!$B$5,LEN(UPPER(SUBSTITUTE('Start here'!$B$6," ",""))))+1,1))</f>
        <v/>
      </c>
      <c r="B9" s="22">
        <f>IF(OR('Start here'!$B$5="",UPPER(SUBSTITUTE('Start here'!$B$6," ",""))=""),"",MID(UPPER(SUBSTITUTE('Start here'!$B$6," ","")),MOD(DATE(2026,1,5)-'Start here'!$B$5,LEN(UPPER(SUBSTITUTE('Start here'!$B$6," ",""))))+1,1))</f>
        <v/>
      </c>
      <c r="C9" s="22">
        <f>IF(OR('Start here'!$B$5="",UPPER(SUBSTITUTE('Start here'!$B$6," ",""))=""),"",MID(UPPER(SUBSTITUTE('Start here'!$B$6," ","")),MOD(DATE(2026,1,6)-'Start here'!$B$5,LEN(UPPER(SUBSTITUTE('Start here'!$B$6," ",""))))+1,1))</f>
        <v/>
      </c>
      <c r="D9" s="22">
        <f>IF(OR('Start here'!$B$5="",UPPER(SUBSTITUTE('Start here'!$B$6," ",""))=""),"",MID(UPPER(SUBSTITUTE('Start here'!$B$6," ","")),MOD(DATE(2026,1,7)-'Start here'!$B$5,LEN(UPPER(SUBSTITUTE('Start here'!$B$6," ",""))))+1,1))</f>
        <v/>
      </c>
      <c r="E9" s="22">
        <f>IF(OR('Start here'!$B$5="",UPPER(SUBSTITUTE('Start here'!$B$6," ",""))=""),"",MID(UPPER(SUBSTITUTE('Start here'!$B$6," ","")),MOD(DATE(2026,1,8)-'Start here'!$B$5,LEN(UPPER(SUBSTITUTE('Start here'!$B$6," ",""))))+1,1))</f>
        <v/>
      </c>
      <c r="F9" s="22">
        <f>IF(OR('Start here'!$B$5="",UPPER(SUBSTITUTE('Start here'!$B$6," ",""))=""),"",MID(UPPER(SUBSTITUTE('Start here'!$B$6," ","")),MOD(DATE(2026,1,9)-'Start here'!$B$5,LEN(UPPER(SUBSTITUTE('Start here'!$B$6," ",""))))+1,1))</f>
        <v/>
      </c>
      <c r="G9" s="22">
        <f>IF(OR('Start here'!$B$5="",UPPER(SUBSTITUTE('Start here'!$B$6," ",""))=""),"",MID(UPPER(SUBSTITUTE('Start here'!$B$6," ","")),MOD(DATE(2026,1,10)-'Start here'!$B$5,LEN(UPPER(SUBSTITUTE('Start here'!$B$6," ",""))))+1,1))</f>
        <v/>
      </c>
      <c r="I9" s="22">
        <f>IF(OR('Start here'!$B$5="",UPPER(SUBSTITUTE('Start here'!$B$6," ",""))=""),"",MID(UPPER(SUBSTITUTE('Start here'!$B$6," ","")),MOD(DATE(2026,2,8)-'Start here'!$B$5,LEN(UPPER(SUBSTITUTE('Start here'!$B$6," ",""))))+1,1))</f>
        <v/>
      </c>
      <c r="J9" s="22">
        <f>IF(OR('Start here'!$B$5="",UPPER(SUBSTITUTE('Start here'!$B$6," ",""))=""),"",MID(UPPER(SUBSTITUTE('Start here'!$B$6," ","")),MOD(DATE(2026,2,9)-'Start here'!$B$5,LEN(UPPER(SUBSTITUTE('Start here'!$B$6," ",""))))+1,1))</f>
        <v/>
      </c>
      <c r="K9" s="22">
        <f>IF(OR('Start here'!$B$5="",UPPER(SUBSTITUTE('Start here'!$B$6," ",""))=""),"",MID(UPPER(SUBSTITUTE('Start here'!$B$6," ","")),MOD(DATE(2026,2,10)-'Start here'!$B$5,LEN(UPPER(SUBSTITUTE('Start here'!$B$6," ",""))))+1,1))</f>
        <v/>
      </c>
      <c r="L9" s="22">
        <f>IF(OR('Start here'!$B$5="",UPPER(SUBSTITUTE('Start here'!$B$6," ",""))=""),"",MID(UPPER(SUBSTITUTE('Start here'!$B$6," ","")),MOD(DATE(2026,2,11)-'Start here'!$B$5,LEN(UPPER(SUBSTITUTE('Start here'!$B$6," ",""))))+1,1))</f>
        <v/>
      </c>
      <c r="M9" s="22">
        <f>IF(OR('Start here'!$B$5="",UPPER(SUBSTITUTE('Start here'!$B$6," ",""))=""),"",MID(UPPER(SUBSTITUTE('Start here'!$B$6," ","")),MOD(DATE(2026,2,12)-'Start here'!$B$5,LEN(UPPER(SUBSTITUTE('Start here'!$B$6," ",""))))+1,1))</f>
        <v/>
      </c>
      <c r="N9" s="22">
        <f>IF(OR('Start here'!$B$5="",UPPER(SUBSTITUTE('Start here'!$B$6," ",""))=""),"",MID(UPPER(SUBSTITUTE('Start here'!$B$6," ","")),MOD(DATE(2026,2,13)-'Start here'!$B$5,LEN(UPPER(SUBSTITUTE('Start here'!$B$6," ",""))))+1,1))</f>
        <v/>
      </c>
      <c r="O9" s="22">
        <f>IF(OR('Start here'!$B$5="",UPPER(SUBSTITUTE('Start here'!$B$6," ",""))=""),"",MID(UPPER(SUBSTITUTE('Start here'!$B$6," ","")),MOD(DATE(2026,2,14)-'Start here'!$B$5,LEN(UPPER(SUBSTITUTE('Start here'!$B$6," ",""))))+1,1))</f>
        <v/>
      </c>
      <c r="Q9" s="22">
        <f>IF(OR('Start here'!$B$5="",UPPER(SUBSTITUTE('Start here'!$B$6," ",""))=""),"",MID(UPPER(SUBSTITUTE('Start here'!$B$6," ","")),MOD(DATE(2026,3,8)-'Start here'!$B$5,LEN(UPPER(SUBSTITUTE('Start here'!$B$6," ",""))))+1,1))</f>
        <v/>
      </c>
      <c r="R9" s="22">
        <f>IF(OR('Start here'!$B$5="",UPPER(SUBSTITUTE('Start here'!$B$6," ",""))=""),"",MID(UPPER(SUBSTITUTE('Start here'!$B$6," ","")),MOD(DATE(2026,3,9)-'Start here'!$B$5,LEN(UPPER(SUBSTITUTE('Start here'!$B$6," ",""))))+1,1))</f>
        <v/>
      </c>
      <c r="S9" s="22">
        <f>IF(OR('Start here'!$B$5="",UPPER(SUBSTITUTE('Start here'!$B$6," ",""))=""),"",MID(UPPER(SUBSTITUTE('Start here'!$B$6," ","")),MOD(DATE(2026,3,10)-'Start here'!$B$5,LEN(UPPER(SUBSTITUTE('Start here'!$B$6," ",""))))+1,1))</f>
        <v/>
      </c>
      <c r="T9" s="22">
        <f>IF(OR('Start here'!$B$5="",UPPER(SUBSTITUTE('Start here'!$B$6," ",""))=""),"",MID(UPPER(SUBSTITUTE('Start here'!$B$6," ","")),MOD(DATE(2026,3,11)-'Start here'!$B$5,LEN(UPPER(SUBSTITUTE('Start here'!$B$6," ",""))))+1,1))</f>
        <v/>
      </c>
      <c r="U9" s="22">
        <f>IF(OR('Start here'!$B$5="",UPPER(SUBSTITUTE('Start here'!$B$6," ",""))=""),"",MID(UPPER(SUBSTITUTE('Start here'!$B$6," ","")),MOD(DATE(2026,3,12)-'Start here'!$B$5,LEN(UPPER(SUBSTITUTE('Start here'!$B$6," ",""))))+1,1))</f>
        <v/>
      </c>
      <c r="V9" s="22">
        <f>IF(OR('Start here'!$B$5="",UPPER(SUBSTITUTE('Start here'!$B$6," ",""))=""),"",MID(UPPER(SUBSTITUTE('Start here'!$B$6," ","")),MOD(DATE(2026,3,13)-'Start here'!$B$5,LEN(UPPER(SUBSTITUTE('Start here'!$B$6," ",""))))+1,1))</f>
        <v/>
      </c>
      <c r="W9" s="22">
        <f>IF(OR('Start here'!$B$5="",UPPER(SUBSTITUTE('Start here'!$B$6," ",""))=""),"",MID(UPPER(SUBSTITUTE('Start here'!$B$6," ","")),MOD(DATE(2026,3,14)-'Start here'!$B$5,LEN(UPPER(SUBSTITUTE('Start here'!$B$6," ",""))))+1,1))</f>
        <v/>
      </c>
    </row>
    <row r="10">
      <c r="A10" s="20" t="n">
        <v>11</v>
      </c>
      <c r="B10" s="20" t="n">
        <v>12</v>
      </c>
      <c r="C10" s="20" t="n">
        <v>13</v>
      </c>
      <c r="D10" s="20" t="n">
        <v>14</v>
      </c>
      <c r="E10" s="20" t="n">
        <v>15</v>
      </c>
      <c r="F10" s="20" t="n">
        <v>16</v>
      </c>
      <c r="G10" s="20" t="n">
        <v>17</v>
      </c>
      <c r="I10" s="20" t="n">
        <v>15</v>
      </c>
      <c r="J10" s="20" t="n">
        <v>16</v>
      </c>
      <c r="K10" s="20" t="n">
        <v>17</v>
      </c>
      <c r="L10" s="20" t="n">
        <v>18</v>
      </c>
      <c r="M10" s="20" t="n">
        <v>19</v>
      </c>
      <c r="N10" s="20" t="n">
        <v>20</v>
      </c>
      <c r="O10" s="20" t="n">
        <v>21</v>
      </c>
      <c r="Q10" s="20" t="n">
        <v>15</v>
      </c>
      <c r="R10" s="20" t="n">
        <v>16</v>
      </c>
      <c r="S10" s="20" t="n">
        <v>17</v>
      </c>
      <c r="T10" s="20" t="n">
        <v>18</v>
      </c>
      <c r="U10" s="20" t="n">
        <v>19</v>
      </c>
      <c r="V10" s="20" t="n">
        <v>20</v>
      </c>
      <c r="W10" s="20" t="n">
        <v>21</v>
      </c>
    </row>
    <row r="11">
      <c r="A11" s="22">
        <f>IF(OR('Start here'!$B$5="",UPPER(SUBSTITUTE('Start here'!$B$6," ",""))=""),"",MID(UPPER(SUBSTITUTE('Start here'!$B$6," ","")),MOD(DATE(2026,1,11)-'Start here'!$B$5,LEN(UPPER(SUBSTITUTE('Start here'!$B$6," ",""))))+1,1))</f>
        <v/>
      </c>
      <c r="B11" s="22">
        <f>IF(OR('Start here'!$B$5="",UPPER(SUBSTITUTE('Start here'!$B$6," ",""))=""),"",MID(UPPER(SUBSTITUTE('Start here'!$B$6," ","")),MOD(DATE(2026,1,12)-'Start here'!$B$5,LEN(UPPER(SUBSTITUTE('Start here'!$B$6," ",""))))+1,1))</f>
        <v/>
      </c>
      <c r="C11" s="22">
        <f>IF(OR('Start here'!$B$5="",UPPER(SUBSTITUTE('Start here'!$B$6," ",""))=""),"",MID(UPPER(SUBSTITUTE('Start here'!$B$6," ","")),MOD(DATE(2026,1,13)-'Start here'!$B$5,LEN(UPPER(SUBSTITUTE('Start here'!$B$6," ",""))))+1,1))</f>
        <v/>
      </c>
      <c r="D11" s="22">
        <f>IF(OR('Start here'!$B$5="",UPPER(SUBSTITUTE('Start here'!$B$6," ",""))=""),"",MID(UPPER(SUBSTITUTE('Start here'!$B$6," ","")),MOD(DATE(2026,1,14)-'Start here'!$B$5,LEN(UPPER(SUBSTITUTE('Start here'!$B$6," ",""))))+1,1))</f>
        <v/>
      </c>
      <c r="E11" s="22">
        <f>IF(OR('Start here'!$B$5="",UPPER(SUBSTITUTE('Start here'!$B$6," ",""))=""),"",MID(UPPER(SUBSTITUTE('Start here'!$B$6," ","")),MOD(DATE(2026,1,15)-'Start here'!$B$5,LEN(UPPER(SUBSTITUTE('Start here'!$B$6," ",""))))+1,1))</f>
        <v/>
      </c>
      <c r="F11" s="22">
        <f>IF(OR('Start here'!$B$5="",UPPER(SUBSTITUTE('Start here'!$B$6," ",""))=""),"",MID(UPPER(SUBSTITUTE('Start here'!$B$6," ","")),MOD(DATE(2026,1,16)-'Start here'!$B$5,LEN(UPPER(SUBSTITUTE('Start here'!$B$6," ",""))))+1,1))</f>
        <v/>
      </c>
      <c r="G11" s="22">
        <f>IF(OR('Start here'!$B$5="",UPPER(SUBSTITUTE('Start here'!$B$6," ",""))=""),"",MID(UPPER(SUBSTITUTE('Start here'!$B$6," ","")),MOD(DATE(2026,1,17)-'Start here'!$B$5,LEN(UPPER(SUBSTITUTE('Start here'!$B$6," ",""))))+1,1))</f>
        <v/>
      </c>
      <c r="I11" s="22">
        <f>IF(OR('Start here'!$B$5="",UPPER(SUBSTITUTE('Start here'!$B$6," ",""))=""),"",MID(UPPER(SUBSTITUTE('Start here'!$B$6," ","")),MOD(DATE(2026,2,15)-'Start here'!$B$5,LEN(UPPER(SUBSTITUTE('Start here'!$B$6," ",""))))+1,1))</f>
        <v/>
      </c>
      <c r="J11" s="22">
        <f>IF(OR('Start here'!$B$5="",UPPER(SUBSTITUTE('Start here'!$B$6," ",""))=""),"",MID(UPPER(SUBSTITUTE('Start here'!$B$6," ","")),MOD(DATE(2026,2,16)-'Start here'!$B$5,LEN(UPPER(SUBSTITUTE('Start here'!$B$6," ",""))))+1,1))</f>
        <v/>
      </c>
      <c r="K11" s="22">
        <f>IF(OR('Start here'!$B$5="",UPPER(SUBSTITUTE('Start here'!$B$6," ",""))=""),"",MID(UPPER(SUBSTITUTE('Start here'!$B$6," ","")),MOD(DATE(2026,2,17)-'Start here'!$B$5,LEN(UPPER(SUBSTITUTE('Start here'!$B$6," ",""))))+1,1))</f>
        <v/>
      </c>
      <c r="L11" s="22">
        <f>IF(OR('Start here'!$B$5="",UPPER(SUBSTITUTE('Start here'!$B$6," ",""))=""),"",MID(UPPER(SUBSTITUTE('Start here'!$B$6," ","")),MOD(DATE(2026,2,18)-'Start here'!$B$5,LEN(UPPER(SUBSTITUTE('Start here'!$B$6," ",""))))+1,1))</f>
        <v/>
      </c>
      <c r="M11" s="22">
        <f>IF(OR('Start here'!$B$5="",UPPER(SUBSTITUTE('Start here'!$B$6," ",""))=""),"",MID(UPPER(SUBSTITUTE('Start here'!$B$6," ","")),MOD(DATE(2026,2,19)-'Start here'!$B$5,LEN(UPPER(SUBSTITUTE('Start here'!$B$6," ",""))))+1,1))</f>
        <v/>
      </c>
      <c r="N11" s="22">
        <f>IF(OR('Start here'!$B$5="",UPPER(SUBSTITUTE('Start here'!$B$6," ",""))=""),"",MID(UPPER(SUBSTITUTE('Start here'!$B$6," ","")),MOD(DATE(2026,2,20)-'Start here'!$B$5,LEN(UPPER(SUBSTITUTE('Start here'!$B$6," ",""))))+1,1))</f>
        <v/>
      </c>
      <c r="O11" s="22">
        <f>IF(OR('Start here'!$B$5="",UPPER(SUBSTITUTE('Start here'!$B$6," ",""))=""),"",MID(UPPER(SUBSTITUTE('Start here'!$B$6," ","")),MOD(DATE(2026,2,21)-'Start here'!$B$5,LEN(UPPER(SUBSTITUTE('Start here'!$B$6," ",""))))+1,1))</f>
        <v/>
      </c>
      <c r="Q11" s="22">
        <f>IF(OR('Start here'!$B$5="",UPPER(SUBSTITUTE('Start here'!$B$6," ",""))=""),"",MID(UPPER(SUBSTITUTE('Start here'!$B$6," ","")),MOD(DATE(2026,3,15)-'Start here'!$B$5,LEN(UPPER(SUBSTITUTE('Start here'!$B$6," ",""))))+1,1))</f>
        <v/>
      </c>
      <c r="R11" s="22">
        <f>IF(OR('Start here'!$B$5="",UPPER(SUBSTITUTE('Start here'!$B$6," ",""))=""),"",MID(UPPER(SUBSTITUTE('Start here'!$B$6," ","")),MOD(DATE(2026,3,16)-'Start here'!$B$5,LEN(UPPER(SUBSTITUTE('Start here'!$B$6," ",""))))+1,1))</f>
        <v/>
      </c>
      <c r="S11" s="22">
        <f>IF(OR('Start here'!$B$5="",UPPER(SUBSTITUTE('Start here'!$B$6," ",""))=""),"",MID(UPPER(SUBSTITUTE('Start here'!$B$6," ","")),MOD(DATE(2026,3,17)-'Start here'!$B$5,LEN(UPPER(SUBSTITUTE('Start here'!$B$6," ",""))))+1,1))</f>
        <v/>
      </c>
      <c r="T11" s="22">
        <f>IF(OR('Start here'!$B$5="",UPPER(SUBSTITUTE('Start here'!$B$6," ",""))=""),"",MID(UPPER(SUBSTITUTE('Start here'!$B$6," ","")),MOD(DATE(2026,3,18)-'Start here'!$B$5,LEN(UPPER(SUBSTITUTE('Start here'!$B$6," ",""))))+1,1))</f>
        <v/>
      </c>
      <c r="U11" s="22">
        <f>IF(OR('Start here'!$B$5="",UPPER(SUBSTITUTE('Start here'!$B$6," ",""))=""),"",MID(UPPER(SUBSTITUTE('Start here'!$B$6," ","")),MOD(DATE(2026,3,19)-'Start here'!$B$5,LEN(UPPER(SUBSTITUTE('Start here'!$B$6," ",""))))+1,1))</f>
        <v/>
      </c>
      <c r="V11" s="22">
        <f>IF(OR('Start here'!$B$5="",UPPER(SUBSTITUTE('Start here'!$B$6," ",""))=""),"",MID(UPPER(SUBSTITUTE('Start here'!$B$6," ","")),MOD(DATE(2026,3,20)-'Start here'!$B$5,LEN(UPPER(SUBSTITUTE('Start here'!$B$6," ",""))))+1,1))</f>
        <v/>
      </c>
      <c r="W11" s="22">
        <f>IF(OR('Start here'!$B$5="",UPPER(SUBSTITUTE('Start here'!$B$6," ",""))=""),"",MID(UPPER(SUBSTITUTE('Start here'!$B$6," ","")),MOD(DATE(2026,3,21)-'Start here'!$B$5,LEN(UPPER(SUBSTITUTE('Start here'!$B$6," ",""))))+1,1))</f>
        <v/>
      </c>
    </row>
    <row r="12">
      <c r="A12" s="20" t="n">
        <v>18</v>
      </c>
      <c r="B12" s="20" t="n">
        <v>19</v>
      </c>
      <c r="C12" s="20" t="n">
        <v>20</v>
      </c>
      <c r="D12" s="20" t="n">
        <v>21</v>
      </c>
      <c r="E12" s="20" t="n">
        <v>22</v>
      </c>
      <c r="F12" s="20" t="n">
        <v>23</v>
      </c>
      <c r="G12" s="20" t="n">
        <v>24</v>
      </c>
      <c r="I12" s="20" t="n">
        <v>22</v>
      </c>
      <c r="J12" s="20" t="n">
        <v>23</v>
      </c>
      <c r="K12" s="20" t="n">
        <v>24</v>
      </c>
      <c r="L12" s="20" t="n">
        <v>25</v>
      </c>
      <c r="M12" s="20" t="n">
        <v>26</v>
      </c>
      <c r="N12" s="20" t="n">
        <v>27</v>
      </c>
      <c r="O12" s="20" t="n">
        <v>28</v>
      </c>
      <c r="Q12" s="20" t="n">
        <v>22</v>
      </c>
      <c r="R12" s="20" t="n">
        <v>23</v>
      </c>
      <c r="S12" s="20" t="n">
        <v>24</v>
      </c>
      <c r="T12" s="20" t="n">
        <v>25</v>
      </c>
      <c r="U12" s="20" t="n">
        <v>26</v>
      </c>
      <c r="V12" s="20" t="n">
        <v>27</v>
      </c>
      <c r="W12" s="20" t="n">
        <v>28</v>
      </c>
    </row>
    <row r="13">
      <c r="A13" s="22">
        <f>IF(OR('Start here'!$B$5="",UPPER(SUBSTITUTE('Start here'!$B$6," ",""))=""),"",MID(UPPER(SUBSTITUTE('Start here'!$B$6," ","")),MOD(DATE(2026,1,18)-'Start here'!$B$5,LEN(UPPER(SUBSTITUTE('Start here'!$B$6," ",""))))+1,1))</f>
        <v/>
      </c>
      <c r="B13" s="22">
        <f>IF(OR('Start here'!$B$5="",UPPER(SUBSTITUTE('Start here'!$B$6," ",""))=""),"",MID(UPPER(SUBSTITUTE('Start here'!$B$6," ","")),MOD(DATE(2026,1,19)-'Start here'!$B$5,LEN(UPPER(SUBSTITUTE('Start here'!$B$6," ",""))))+1,1))</f>
        <v/>
      </c>
      <c r="C13" s="22">
        <f>IF(OR('Start here'!$B$5="",UPPER(SUBSTITUTE('Start here'!$B$6," ",""))=""),"",MID(UPPER(SUBSTITUTE('Start here'!$B$6," ","")),MOD(DATE(2026,1,20)-'Start here'!$B$5,LEN(UPPER(SUBSTITUTE('Start here'!$B$6," ",""))))+1,1))</f>
        <v/>
      </c>
      <c r="D13" s="22">
        <f>IF(OR('Start here'!$B$5="",UPPER(SUBSTITUTE('Start here'!$B$6," ",""))=""),"",MID(UPPER(SUBSTITUTE('Start here'!$B$6," ","")),MOD(DATE(2026,1,21)-'Start here'!$B$5,LEN(UPPER(SUBSTITUTE('Start here'!$B$6," ",""))))+1,1))</f>
        <v/>
      </c>
      <c r="E13" s="22">
        <f>IF(OR('Start here'!$B$5="",UPPER(SUBSTITUTE('Start here'!$B$6," ",""))=""),"",MID(UPPER(SUBSTITUTE('Start here'!$B$6," ","")),MOD(DATE(2026,1,22)-'Start here'!$B$5,LEN(UPPER(SUBSTITUTE('Start here'!$B$6," ",""))))+1,1))</f>
        <v/>
      </c>
      <c r="F13" s="22">
        <f>IF(OR('Start here'!$B$5="",UPPER(SUBSTITUTE('Start here'!$B$6," ",""))=""),"",MID(UPPER(SUBSTITUTE('Start here'!$B$6," ","")),MOD(DATE(2026,1,23)-'Start here'!$B$5,LEN(UPPER(SUBSTITUTE('Start here'!$B$6," ",""))))+1,1))</f>
        <v/>
      </c>
      <c r="G13" s="22">
        <f>IF(OR('Start here'!$B$5="",UPPER(SUBSTITUTE('Start here'!$B$6," ",""))=""),"",MID(UPPER(SUBSTITUTE('Start here'!$B$6," ","")),MOD(DATE(2026,1,24)-'Start here'!$B$5,LEN(UPPER(SUBSTITUTE('Start here'!$B$6," ",""))))+1,1))</f>
        <v/>
      </c>
      <c r="I13" s="22">
        <f>IF(OR('Start here'!$B$5="",UPPER(SUBSTITUTE('Start here'!$B$6," ",""))=""),"",MID(UPPER(SUBSTITUTE('Start here'!$B$6," ","")),MOD(DATE(2026,2,22)-'Start here'!$B$5,LEN(UPPER(SUBSTITUTE('Start here'!$B$6," ",""))))+1,1))</f>
        <v/>
      </c>
      <c r="J13" s="22">
        <f>IF(OR('Start here'!$B$5="",UPPER(SUBSTITUTE('Start here'!$B$6," ",""))=""),"",MID(UPPER(SUBSTITUTE('Start here'!$B$6," ","")),MOD(DATE(2026,2,23)-'Start here'!$B$5,LEN(UPPER(SUBSTITUTE('Start here'!$B$6," ",""))))+1,1))</f>
        <v/>
      </c>
      <c r="K13" s="22">
        <f>IF(OR('Start here'!$B$5="",UPPER(SUBSTITUTE('Start here'!$B$6," ",""))=""),"",MID(UPPER(SUBSTITUTE('Start here'!$B$6," ","")),MOD(DATE(2026,2,24)-'Start here'!$B$5,LEN(UPPER(SUBSTITUTE('Start here'!$B$6," ",""))))+1,1))</f>
        <v/>
      </c>
      <c r="L13" s="22">
        <f>IF(OR('Start here'!$B$5="",UPPER(SUBSTITUTE('Start here'!$B$6," ",""))=""),"",MID(UPPER(SUBSTITUTE('Start here'!$B$6," ","")),MOD(DATE(2026,2,25)-'Start here'!$B$5,LEN(UPPER(SUBSTITUTE('Start here'!$B$6," ",""))))+1,1))</f>
        <v/>
      </c>
      <c r="M13" s="22">
        <f>IF(OR('Start here'!$B$5="",UPPER(SUBSTITUTE('Start here'!$B$6," ",""))=""),"",MID(UPPER(SUBSTITUTE('Start here'!$B$6," ","")),MOD(DATE(2026,2,26)-'Start here'!$B$5,LEN(UPPER(SUBSTITUTE('Start here'!$B$6," ",""))))+1,1))</f>
        <v/>
      </c>
      <c r="N13" s="22">
        <f>IF(OR('Start here'!$B$5="",UPPER(SUBSTITUTE('Start here'!$B$6," ",""))=""),"",MID(UPPER(SUBSTITUTE('Start here'!$B$6," ","")),MOD(DATE(2026,2,27)-'Start here'!$B$5,LEN(UPPER(SUBSTITUTE('Start here'!$B$6," ",""))))+1,1))</f>
        <v/>
      </c>
      <c r="O13" s="22">
        <f>IF(OR('Start here'!$B$5="",UPPER(SUBSTITUTE('Start here'!$B$6," ",""))=""),"",MID(UPPER(SUBSTITUTE('Start here'!$B$6," ","")),MOD(DATE(2026,2,28)-'Start here'!$B$5,LEN(UPPER(SUBSTITUTE('Start here'!$B$6," ",""))))+1,1))</f>
        <v/>
      </c>
      <c r="Q13" s="22">
        <f>IF(OR('Start here'!$B$5="",UPPER(SUBSTITUTE('Start here'!$B$6," ",""))=""),"",MID(UPPER(SUBSTITUTE('Start here'!$B$6," ","")),MOD(DATE(2026,3,22)-'Start here'!$B$5,LEN(UPPER(SUBSTITUTE('Start here'!$B$6," ",""))))+1,1))</f>
        <v/>
      </c>
      <c r="R13" s="22">
        <f>IF(OR('Start here'!$B$5="",UPPER(SUBSTITUTE('Start here'!$B$6," ",""))=""),"",MID(UPPER(SUBSTITUTE('Start here'!$B$6," ","")),MOD(DATE(2026,3,23)-'Start here'!$B$5,LEN(UPPER(SUBSTITUTE('Start here'!$B$6," ",""))))+1,1))</f>
        <v/>
      </c>
      <c r="S13" s="22">
        <f>IF(OR('Start here'!$B$5="",UPPER(SUBSTITUTE('Start here'!$B$6," ",""))=""),"",MID(UPPER(SUBSTITUTE('Start here'!$B$6," ","")),MOD(DATE(2026,3,24)-'Start here'!$B$5,LEN(UPPER(SUBSTITUTE('Start here'!$B$6," ",""))))+1,1))</f>
        <v/>
      </c>
      <c r="T13" s="22">
        <f>IF(OR('Start here'!$B$5="",UPPER(SUBSTITUTE('Start here'!$B$6," ",""))=""),"",MID(UPPER(SUBSTITUTE('Start here'!$B$6," ","")),MOD(DATE(2026,3,25)-'Start here'!$B$5,LEN(UPPER(SUBSTITUTE('Start here'!$B$6," ",""))))+1,1))</f>
        <v/>
      </c>
      <c r="U13" s="22">
        <f>IF(OR('Start here'!$B$5="",UPPER(SUBSTITUTE('Start here'!$B$6," ",""))=""),"",MID(UPPER(SUBSTITUTE('Start here'!$B$6," ","")),MOD(DATE(2026,3,26)-'Start here'!$B$5,LEN(UPPER(SUBSTITUTE('Start here'!$B$6," ",""))))+1,1))</f>
        <v/>
      </c>
      <c r="V13" s="22">
        <f>IF(OR('Start here'!$B$5="",UPPER(SUBSTITUTE('Start here'!$B$6," ",""))=""),"",MID(UPPER(SUBSTITUTE('Start here'!$B$6," ","")),MOD(DATE(2026,3,27)-'Start here'!$B$5,LEN(UPPER(SUBSTITUTE('Start here'!$B$6," ",""))))+1,1))</f>
        <v/>
      </c>
      <c r="W13" s="22">
        <f>IF(OR('Start here'!$B$5="",UPPER(SUBSTITUTE('Start here'!$B$6," ",""))=""),"",MID(UPPER(SUBSTITUTE('Start here'!$B$6," ","")),MOD(DATE(2026,3,28)-'Start here'!$B$5,LEN(UPPER(SUBSTITUTE('Start here'!$B$6," ",""))))+1,1))</f>
        <v/>
      </c>
    </row>
    <row r="14">
      <c r="A14" s="20" t="n">
        <v>25</v>
      </c>
      <c r="B14" s="20" t="n">
        <v>26</v>
      </c>
      <c r="C14" s="20" t="n">
        <v>27</v>
      </c>
      <c r="D14" s="20" t="n">
        <v>28</v>
      </c>
      <c r="E14" s="20" t="n">
        <v>29</v>
      </c>
      <c r="F14" s="20" t="n">
        <v>30</v>
      </c>
      <c r="G14" s="20" t="n">
        <v>31</v>
      </c>
      <c r="I14" s="19" t="n"/>
      <c r="J14" s="19" t="n"/>
      <c r="K14" s="19" t="n"/>
      <c r="L14" s="19" t="n"/>
      <c r="M14" s="19" t="n"/>
      <c r="N14" s="19" t="n"/>
      <c r="O14" s="19" t="n"/>
      <c r="Q14" s="20" t="n">
        <v>29</v>
      </c>
      <c r="R14" s="20" t="n">
        <v>30</v>
      </c>
      <c r="S14" s="20" t="n">
        <v>31</v>
      </c>
      <c r="T14" s="19" t="n"/>
      <c r="U14" s="19" t="n"/>
      <c r="V14" s="19" t="n"/>
      <c r="W14" s="19" t="n"/>
    </row>
    <row r="15">
      <c r="A15" s="22">
        <f>IF(OR('Start here'!$B$5="",UPPER(SUBSTITUTE('Start here'!$B$6," ",""))=""),"",MID(UPPER(SUBSTITUTE('Start here'!$B$6," ","")),MOD(DATE(2026,1,25)-'Start here'!$B$5,LEN(UPPER(SUBSTITUTE('Start here'!$B$6," ",""))))+1,1))</f>
        <v/>
      </c>
      <c r="B15" s="22">
        <f>IF(OR('Start here'!$B$5="",UPPER(SUBSTITUTE('Start here'!$B$6," ",""))=""),"",MID(UPPER(SUBSTITUTE('Start here'!$B$6," ","")),MOD(DATE(2026,1,26)-'Start here'!$B$5,LEN(UPPER(SUBSTITUTE('Start here'!$B$6," ",""))))+1,1))</f>
        <v/>
      </c>
      <c r="C15" s="22">
        <f>IF(OR('Start here'!$B$5="",UPPER(SUBSTITUTE('Start here'!$B$6," ",""))=""),"",MID(UPPER(SUBSTITUTE('Start here'!$B$6," ","")),MOD(DATE(2026,1,27)-'Start here'!$B$5,LEN(UPPER(SUBSTITUTE('Start here'!$B$6," ",""))))+1,1))</f>
        <v/>
      </c>
      <c r="D15" s="22">
        <f>IF(OR('Start here'!$B$5="",UPPER(SUBSTITUTE('Start here'!$B$6," ",""))=""),"",MID(UPPER(SUBSTITUTE('Start here'!$B$6," ","")),MOD(DATE(2026,1,28)-'Start here'!$B$5,LEN(UPPER(SUBSTITUTE('Start here'!$B$6," ",""))))+1,1))</f>
        <v/>
      </c>
      <c r="E15" s="22">
        <f>IF(OR('Start here'!$B$5="",UPPER(SUBSTITUTE('Start here'!$B$6," ",""))=""),"",MID(UPPER(SUBSTITUTE('Start here'!$B$6," ","")),MOD(DATE(2026,1,29)-'Start here'!$B$5,LEN(UPPER(SUBSTITUTE('Start here'!$B$6," ",""))))+1,1))</f>
        <v/>
      </c>
      <c r="F15" s="22">
        <f>IF(OR('Start here'!$B$5="",UPPER(SUBSTITUTE('Start here'!$B$6," ",""))=""),"",MID(UPPER(SUBSTITUTE('Start here'!$B$6," ","")),MOD(DATE(2026,1,30)-'Start here'!$B$5,LEN(UPPER(SUBSTITUTE('Start here'!$B$6," ",""))))+1,1))</f>
        <v/>
      </c>
      <c r="G15" s="22">
        <f>IF(OR('Start here'!$B$5="",UPPER(SUBSTITUTE('Start here'!$B$6," ",""))=""),"",MID(UPPER(SUBSTITUTE('Start here'!$B$6," ","")),MOD(DATE(2026,1,31)-'Start here'!$B$5,LEN(UPPER(SUBSTITUTE('Start here'!$B$6," ",""))))+1,1))</f>
        <v/>
      </c>
      <c r="I15" s="21" t="n"/>
      <c r="J15" s="21" t="n"/>
      <c r="K15" s="21" t="n"/>
      <c r="L15" s="21" t="n"/>
      <c r="M15" s="21" t="n"/>
      <c r="N15" s="21" t="n"/>
      <c r="O15" s="21" t="n"/>
      <c r="Q15" s="22">
        <f>IF(OR('Start here'!$B$5="",UPPER(SUBSTITUTE('Start here'!$B$6," ",""))=""),"",MID(UPPER(SUBSTITUTE('Start here'!$B$6," ","")),MOD(DATE(2026,3,29)-'Start here'!$B$5,LEN(UPPER(SUBSTITUTE('Start here'!$B$6," ",""))))+1,1))</f>
        <v/>
      </c>
      <c r="R15" s="22">
        <f>IF(OR('Start here'!$B$5="",UPPER(SUBSTITUTE('Start here'!$B$6," ",""))=""),"",MID(UPPER(SUBSTITUTE('Start here'!$B$6," ","")),MOD(DATE(2026,3,30)-'Start here'!$B$5,LEN(UPPER(SUBSTITUTE('Start here'!$B$6," ",""))))+1,1))</f>
        <v/>
      </c>
      <c r="S15" s="22">
        <f>IF(OR('Start here'!$B$5="",UPPER(SUBSTITUTE('Start here'!$B$6," ",""))=""),"",MID(UPPER(SUBSTITUTE('Start here'!$B$6," ","")),MOD(DATE(2026,3,31)-'Start here'!$B$5,LEN(UPPER(SUBSTITUTE('Start here'!$B$6," ",""))))+1,1))</f>
        <v/>
      </c>
      <c r="T15" s="21" t="n"/>
      <c r="U15" s="21" t="n"/>
      <c r="V15" s="21" t="n"/>
      <c r="W15" s="21" t="n"/>
    </row>
    <row r="16">
      <c r="A16" s="19" t="n"/>
      <c r="B16" s="19" t="n"/>
      <c r="C16" s="19" t="n"/>
      <c r="D16" s="19" t="n"/>
      <c r="E16" s="19" t="n"/>
      <c r="F16" s="19" t="n"/>
      <c r="G16" s="19" t="n"/>
      <c r="I16" s="19" t="n"/>
      <c r="J16" s="19" t="n"/>
      <c r="K16" s="19" t="n"/>
      <c r="L16" s="19" t="n"/>
      <c r="M16" s="19" t="n"/>
      <c r="N16" s="19" t="n"/>
      <c r="O16" s="19" t="n"/>
      <c r="Q16" s="19" t="n"/>
      <c r="R16" s="19" t="n"/>
      <c r="S16" s="19" t="n"/>
      <c r="T16" s="19" t="n"/>
      <c r="U16" s="19" t="n"/>
      <c r="V16" s="19" t="n"/>
      <c r="W16" s="19" t="n"/>
    </row>
    <row r="17">
      <c r="A17" s="21" t="n"/>
      <c r="B17" s="21" t="n"/>
      <c r="C17" s="21" t="n"/>
      <c r="D17" s="21" t="n"/>
      <c r="E17" s="21" t="n"/>
      <c r="F17" s="21" t="n"/>
      <c r="G17" s="21" t="n"/>
      <c r="I17" s="21" t="n"/>
      <c r="J17" s="21" t="n"/>
      <c r="K17" s="21" t="n"/>
      <c r="L17" s="21" t="n"/>
      <c r="M17" s="21" t="n"/>
      <c r="N17" s="21" t="n"/>
      <c r="O17" s="21" t="n"/>
      <c r="Q17" s="21" t="n"/>
      <c r="R17" s="21" t="n"/>
      <c r="S17" s="21" t="n"/>
      <c r="T17" s="21" t="n"/>
      <c r="U17" s="21" t="n"/>
      <c r="V17" s="21" t="n"/>
      <c r="W17" s="21" t="n"/>
    </row>
    <row r="18">
      <c r="A18" s="23" t="inlineStr">
        <is>
          <t>Nights A</t>
        </is>
      </c>
      <c r="C18" s="24">
        <f>COUNTIF(A7:G17,"A")</f>
        <v/>
      </c>
      <c r="E18" s="23" t="inlineStr">
        <is>
          <t>B</t>
        </is>
      </c>
      <c r="F18" s="24">
        <f>COUNTIF(A7:G17,"B")</f>
        <v/>
      </c>
      <c r="I18" s="23" t="inlineStr">
        <is>
          <t>Nights A</t>
        </is>
      </c>
      <c r="K18" s="24">
        <f>COUNTIF(I7:O17,"A")</f>
        <v/>
      </c>
      <c r="M18" s="23" t="inlineStr">
        <is>
          <t>B</t>
        </is>
      </c>
      <c r="N18" s="24">
        <f>COUNTIF(I7:O17,"B")</f>
        <v/>
      </c>
      <c r="Q18" s="23" t="inlineStr">
        <is>
          <t>Nights A</t>
        </is>
      </c>
      <c r="S18" s="24">
        <f>COUNTIF(Q7:W17,"A")</f>
        <v/>
      </c>
      <c r="U18" s="23" t="inlineStr">
        <is>
          <t>B</t>
        </is>
      </c>
      <c r="V18" s="24">
        <f>COUNTIF(Q7:W17,"B")</f>
        <v/>
      </c>
    </row>
    <row r="20">
      <c r="A20" s="16" t="inlineStr">
        <is>
          <t>April 2026</t>
        </is>
      </c>
      <c r="B20" s="17" t="n"/>
      <c r="C20" s="17" t="n"/>
      <c r="D20" s="17" t="n"/>
      <c r="E20" s="17" t="n"/>
      <c r="F20" s="17" t="n"/>
      <c r="G20" s="17" t="n"/>
      <c r="I20" s="16" t="inlineStr">
        <is>
          <t>May 2026</t>
        </is>
      </c>
      <c r="J20" s="17" t="n"/>
      <c r="K20" s="17" t="n"/>
      <c r="L20" s="17" t="n"/>
      <c r="M20" s="17" t="n"/>
      <c r="N20" s="17" t="n"/>
      <c r="O20" s="17" t="n"/>
      <c r="Q20" s="16" t="inlineStr">
        <is>
          <t>June 2026</t>
        </is>
      </c>
      <c r="R20" s="17" t="n"/>
      <c r="S20" s="17" t="n"/>
      <c r="T20" s="17" t="n"/>
      <c r="U20" s="17" t="n"/>
      <c r="V20" s="17" t="n"/>
      <c r="W20" s="17" t="n"/>
    </row>
    <row r="21">
      <c r="A21" s="18" t="inlineStr">
        <is>
          <t>S</t>
        </is>
      </c>
      <c r="B21" s="18" t="inlineStr">
        <is>
          <t>M</t>
        </is>
      </c>
      <c r="C21" s="18" t="inlineStr">
        <is>
          <t>T</t>
        </is>
      </c>
      <c r="D21" s="18" t="inlineStr">
        <is>
          <t>W</t>
        </is>
      </c>
      <c r="E21" s="18" t="inlineStr">
        <is>
          <t>T</t>
        </is>
      </c>
      <c r="F21" s="18" t="inlineStr">
        <is>
          <t>F</t>
        </is>
      </c>
      <c r="G21" s="18" t="inlineStr">
        <is>
          <t>S</t>
        </is>
      </c>
      <c r="I21" s="18" t="inlineStr">
        <is>
          <t>S</t>
        </is>
      </c>
      <c r="J21" s="18" t="inlineStr">
        <is>
          <t>M</t>
        </is>
      </c>
      <c r="K21" s="18" t="inlineStr">
        <is>
          <t>T</t>
        </is>
      </c>
      <c r="L21" s="18" t="inlineStr">
        <is>
          <t>W</t>
        </is>
      </c>
      <c r="M21" s="18" t="inlineStr">
        <is>
          <t>T</t>
        </is>
      </c>
      <c r="N21" s="18" t="inlineStr">
        <is>
          <t>F</t>
        </is>
      </c>
      <c r="O21" s="18" t="inlineStr">
        <is>
          <t>S</t>
        </is>
      </c>
      <c r="Q21" s="18" t="inlineStr">
        <is>
          <t>S</t>
        </is>
      </c>
      <c r="R21" s="18" t="inlineStr">
        <is>
          <t>M</t>
        </is>
      </c>
      <c r="S21" s="18" t="inlineStr">
        <is>
          <t>T</t>
        </is>
      </c>
      <c r="T21" s="18" t="inlineStr">
        <is>
          <t>W</t>
        </is>
      </c>
      <c r="U21" s="18" t="inlineStr">
        <is>
          <t>T</t>
        </is>
      </c>
      <c r="V21" s="18" t="inlineStr">
        <is>
          <t>F</t>
        </is>
      </c>
      <c r="W21" s="18" t="inlineStr">
        <is>
          <t>S</t>
        </is>
      </c>
    </row>
    <row r="22">
      <c r="A22" s="19" t="n"/>
      <c r="B22" s="19" t="n"/>
      <c r="C22" s="19" t="n"/>
      <c r="D22" s="20" t="n">
        <v>1</v>
      </c>
      <c r="E22" s="20" t="n">
        <v>2</v>
      </c>
      <c r="F22" s="20" t="n">
        <v>3</v>
      </c>
      <c r="G22" s="20" t="n">
        <v>4</v>
      </c>
      <c r="I22" s="19" t="n"/>
      <c r="J22" s="19" t="n"/>
      <c r="K22" s="19" t="n"/>
      <c r="L22" s="19" t="n"/>
      <c r="M22" s="19" t="n"/>
      <c r="N22" s="20" t="n">
        <v>1</v>
      </c>
      <c r="O22" s="20" t="n">
        <v>2</v>
      </c>
      <c r="Q22" s="19" t="n"/>
      <c r="R22" s="20" t="n">
        <v>1</v>
      </c>
      <c r="S22" s="20" t="n">
        <v>2</v>
      </c>
      <c r="T22" s="20" t="n">
        <v>3</v>
      </c>
      <c r="U22" s="20" t="n">
        <v>4</v>
      </c>
      <c r="V22" s="20" t="n">
        <v>5</v>
      </c>
      <c r="W22" s="20" t="n">
        <v>6</v>
      </c>
    </row>
    <row r="23">
      <c r="A23" s="21" t="n"/>
      <c r="B23" s="21" t="n"/>
      <c r="C23" s="21" t="n"/>
      <c r="D23" s="22">
        <f>IF(OR('Start here'!$B$5="",UPPER(SUBSTITUTE('Start here'!$B$6," ",""))=""),"",MID(UPPER(SUBSTITUTE('Start here'!$B$6," ","")),MOD(DATE(2026,4,1)-'Start here'!$B$5,LEN(UPPER(SUBSTITUTE('Start here'!$B$6," ",""))))+1,1))</f>
        <v/>
      </c>
      <c r="E23" s="22">
        <f>IF(OR('Start here'!$B$5="",UPPER(SUBSTITUTE('Start here'!$B$6," ",""))=""),"",MID(UPPER(SUBSTITUTE('Start here'!$B$6," ","")),MOD(DATE(2026,4,2)-'Start here'!$B$5,LEN(UPPER(SUBSTITUTE('Start here'!$B$6," ",""))))+1,1))</f>
        <v/>
      </c>
      <c r="F23" s="22">
        <f>IF(OR('Start here'!$B$5="",UPPER(SUBSTITUTE('Start here'!$B$6," ",""))=""),"",MID(UPPER(SUBSTITUTE('Start here'!$B$6," ","")),MOD(DATE(2026,4,3)-'Start here'!$B$5,LEN(UPPER(SUBSTITUTE('Start here'!$B$6," ",""))))+1,1))</f>
        <v/>
      </c>
      <c r="G23" s="22">
        <f>IF(OR('Start here'!$B$5="",UPPER(SUBSTITUTE('Start here'!$B$6," ",""))=""),"",MID(UPPER(SUBSTITUTE('Start here'!$B$6," ","")),MOD(DATE(2026,4,4)-'Start here'!$B$5,LEN(UPPER(SUBSTITUTE('Start here'!$B$6," ",""))))+1,1))</f>
        <v/>
      </c>
      <c r="I23" s="21" t="n"/>
      <c r="J23" s="21" t="n"/>
      <c r="K23" s="21" t="n"/>
      <c r="L23" s="21" t="n"/>
      <c r="M23" s="21" t="n"/>
      <c r="N23" s="22">
        <f>IF(OR('Start here'!$B$5="",UPPER(SUBSTITUTE('Start here'!$B$6," ",""))=""),"",MID(UPPER(SUBSTITUTE('Start here'!$B$6," ","")),MOD(DATE(2026,5,1)-'Start here'!$B$5,LEN(UPPER(SUBSTITUTE('Start here'!$B$6," ",""))))+1,1))</f>
        <v/>
      </c>
      <c r="O23" s="22">
        <f>IF(OR('Start here'!$B$5="",UPPER(SUBSTITUTE('Start here'!$B$6," ",""))=""),"",MID(UPPER(SUBSTITUTE('Start here'!$B$6," ","")),MOD(DATE(2026,5,2)-'Start here'!$B$5,LEN(UPPER(SUBSTITUTE('Start here'!$B$6," ",""))))+1,1))</f>
        <v/>
      </c>
      <c r="Q23" s="21" t="n"/>
      <c r="R23" s="22">
        <f>IF(OR('Start here'!$B$5="",UPPER(SUBSTITUTE('Start here'!$B$6," ",""))=""),"",MID(UPPER(SUBSTITUTE('Start here'!$B$6," ","")),MOD(DATE(2026,6,1)-'Start here'!$B$5,LEN(UPPER(SUBSTITUTE('Start here'!$B$6," ",""))))+1,1))</f>
        <v/>
      </c>
      <c r="S23" s="22">
        <f>IF(OR('Start here'!$B$5="",UPPER(SUBSTITUTE('Start here'!$B$6," ",""))=""),"",MID(UPPER(SUBSTITUTE('Start here'!$B$6," ","")),MOD(DATE(2026,6,2)-'Start here'!$B$5,LEN(UPPER(SUBSTITUTE('Start here'!$B$6," ",""))))+1,1))</f>
        <v/>
      </c>
      <c r="T23" s="22">
        <f>IF(OR('Start here'!$B$5="",UPPER(SUBSTITUTE('Start here'!$B$6," ",""))=""),"",MID(UPPER(SUBSTITUTE('Start here'!$B$6," ","")),MOD(DATE(2026,6,3)-'Start here'!$B$5,LEN(UPPER(SUBSTITUTE('Start here'!$B$6," ",""))))+1,1))</f>
        <v/>
      </c>
      <c r="U23" s="22">
        <f>IF(OR('Start here'!$B$5="",UPPER(SUBSTITUTE('Start here'!$B$6," ",""))=""),"",MID(UPPER(SUBSTITUTE('Start here'!$B$6," ","")),MOD(DATE(2026,6,4)-'Start here'!$B$5,LEN(UPPER(SUBSTITUTE('Start here'!$B$6," ",""))))+1,1))</f>
        <v/>
      </c>
      <c r="V23" s="22">
        <f>IF(OR('Start here'!$B$5="",UPPER(SUBSTITUTE('Start here'!$B$6," ",""))=""),"",MID(UPPER(SUBSTITUTE('Start here'!$B$6," ","")),MOD(DATE(2026,6,5)-'Start here'!$B$5,LEN(UPPER(SUBSTITUTE('Start here'!$B$6," ",""))))+1,1))</f>
        <v/>
      </c>
      <c r="W23" s="22">
        <f>IF(OR('Start here'!$B$5="",UPPER(SUBSTITUTE('Start here'!$B$6," ",""))=""),"",MID(UPPER(SUBSTITUTE('Start here'!$B$6," ","")),MOD(DATE(2026,6,6)-'Start here'!$B$5,LEN(UPPER(SUBSTITUTE('Start here'!$B$6," ",""))))+1,1))</f>
        <v/>
      </c>
    </row>
    <row r="24">
      <c r="A24" s="20" t="n">
        <v>5</v>
      </c>
      <c r="B24" s="20" t="n">
        <v>6</v>
      </c>
      <c r="C24" s="20" t="n">
        <v>7</v>
      </c>
      <c r="D24" s="20" t="n">
        <v>8</v>
      </c>
      <c r="E24" s="20" t="n">
        <v>9</v>
      </c>
      <c r="F24" s="20" t="n">
        <v>10</v>
      </c>
      <c r="G24" s="20" t="n">
        <v>11</v>
      </c>
      <c r="I24" s="20" t="n">
        <v>3</v>
      </c>
      <c r="J24" s="20" t="n">
        <v>4</v>
      </c>
      <c r="K24" s="20" t="n">
        <v>5</v>
      </c>
      <c r="L24" s="20" t="n">
        <v>6</v>
      </c>
      <c r="M24" s="20" t="n">
        <v>7</v>
      </c>
      <c r="N24" s="20" t="n">
        <v>8</v>
      </c>
      <c r="O24" s="20" t="n">
        <v>9</v>
      </c>
      <c r="Q24" s="20" t="n">
        <v>7</v>
      </c>
      <c r="R24" s="20" t="n">
        <v>8</v>
      </c>
      <c r="S24" s="20" t="n">
        <v>9</v>
      </c>
      <c r="T24" s="20" t="n">
        <v>10</v>
      </c>
      <c r="U24" s="20" t="n">
        <v>11</v>
      </c>
      <c r="V24" s="20" t="n">
        <v>12</v>
      </c>
      <c r="W24" s="20" t="n">
        <v>13</v>
      </c>
    </row>
    <row r="25">
      <c r="A25" s="22">
        <f>IF(OR('Start here'!$B$5="",UPPER(SUBSTITUTE('Start here'!$B$6," ",""))=""),"",MID(UPPER(SUBSTITUTE('Start here'!$B$6," ","")),MOD(DATE(2026,4,5)-'Start here'!$B$5,LEN(UPPER(SUBSTITUTE('Start here'!$B$6," ",""))))+1,1))</f>
        <v/>
      </c>
      <c r="B25" s="22">
        <f>IF(OR('Start here'!$B$5="",UPPER(SUBSTITUTE('Start here'!$B$6," ",""))=""),"",MID(UPPER(SUBSTITUTE('Start here'!$B$6," ","")),MOD(DATE(2026,4,6)-'Start here'!$B$5,LEN(UPPER(SUBSTITUTE('Start here'!$B$6," ",""))))+1,1))</f>
        <v/>
      </c>
      <c r="C25" s="22">
        <f>IF(OR('Start here'!$B$5="",UPPER(SUBSTITUTE('Start here'!$B$6," ",""))=""),"",MID(UPPER(SUBSTITUTE('Start here'!$B$6," ","")),MOD(DATE(2026,4,7)-'Start here'!$B$5,LEN(UPPER(SUBSTITUTE('Start here'!$B$6," ",""))))+1,1))</f>
        <v/>
      </c>
      <c r="D25" s="22">
        <f>IF(OR('Start here'!$B$5="",UPPER(SUBSTITUTE('Start here'!$B$6," ",""))=""),"",MID(UPPER(SUBSTITUTE('Start here'!$B$6," ","")),MOD(DATE(2026,4,8)-'Start here'!$B$5,LEN(UPPER(SUBSTITUTE('Start here'!$B$6," ",""))))+1,1))</f>
        <v/>
      </c>
      <c r="E25" s="22">
        <f>IF(OR('Start here'!$B$5="",UPPER(SUBSTITUTE('Start here'!$B$6," ",""))=""),"",MID(UPPER(SUBSTITUTE('Start here'!$B$6," ","")),MOD(DATE(2026,4,9)-'Start here'!$B$5,LEN(UPPER(SUBSTITUTE('Start here'!$B$6," ",""))))+1,1))</f>
        <v/>
      </c>
      <c r="F25" s="22">
        <f>IF(OR('Start here'!$B$5="",UPPER(SUBSTITUTE('Start here'!$B$6," ",""))=""),"",MID(UPPER(SUBSTITUTE('Start here'!$B$6," ","")),MOD(DATE(2026,4,10)-'Start here'!$B$5,LEN(UPPER(SUBSTITUTE('Start here'!$B$6," ",""))))+1,1))</f>
        <v/>
      </c>
      <c r="G25" s="22">
        <f>IF(OR('Start here'!$B$5="",UPPER(SUBSTITUTE('Start here'!$B$6," ",""))=""),"",MID(UPPER(SUBSTITUTE('Start here'!$B$6," ","")),MOD(DATE(2026,4,11)-'Start here'!$B$5,LEN(UPPER(SUBSTITUTE('Start here'!$B$6," ",""))))+1,1))</f>
        <v/>
      </c>
      <c r="I25" s="22">
        <f>IF(OR('Start here'!$B$5="",UPPER(SUBSTITUTE('Start here'!$B$6," ",""))=""),"",MID(UPPER(SUBSTITUTE('Start here'!$B$6," ","")),MOD(DATE(2026,5,3)-'Start here'!$B$5,LEN(UPPER(SUBSTITUTE('Start here'!$B$6," ",""))))+1,1))</f>
        <v/>
      </c>
      <c r="J25" s="22">
        <f>IF(OR('Start here'!$B$5="",UPPER(SUBSTITUTE('Start here'!$B$6," ",""))=""),"",MID(UPPER(SUBSTITUTE('Start here'!$B$6," ","")),MOD(DATE(2026,5,4)-'Start here'!$B$5,LEN(UPPER(SUBSTITUTE('Start here'!$B$6," ",""))))+1,1))</f>
        <v/>
      </c>
      <c r="K25" s="22">
        <f>IF(OR('Start here'!$B$5="",UPPER(SUBSTITUTE('Start here'!$B$6," ",""))=""),"",MID(UPPER(SUBSTITUTE('Start here'!$B$6," ","")),MOD(DATE(2026,5,5)-'Start here'!$B$5,LEN(UPPER(SUBSTITUTE('Start here'!$B$6," ",""))))+1,1))</f>
        <v/>
      </c>
      <c r="L25" s="22">
        <f>IF(OR('Start here'!$B$5="",UPPER(SUBSTITUTE('Start here'!$B$6," ",""))=""),"",MID(UPPER(SUBSTITUTE('Start here'!$B$6," ","")),MOD(DATE(2026,5,6)-'Start here'!$B$5,LEN(UPPER(SUBSTITUTE('Start here'!$B$6," ",""))))+1,1))</f>
        <v/>
      </c>
      <c r="M25" s="22">
        <f>IF(OR('Start here'!$B$5="",UPPER(SUBSTITUTE('Start here'!$B$6," ",""))=""),"",MID(UPPER(SUBSTITUTE('Start here'!$B$6," ","")),MOD(DATE(2026,5,7)-'Start here'!$B$5,LEN(UPPER(SUBSTITUTE('Start here'!$B$6," ",""))))+1,1))</f>
        <v/>
      </c>
      <c r="N25" s="22">
        <f>IF(OR('Start here'!$B$5="",UPPER(SUBSTITUTE('Start here'!$B$6," ",""))=""),"",MID(UPPER(SUBSTITUTE('Start here'!$B$6," ","")),MOD(DATE(2026,5,8)-'Start here'!$B$5,LEN(UPPER(SUBSTITUTE('Start here'!$B$6," ",""))))+1,1))</f>
        <v/>
      </c>
      <c r="O25" s="22">
        <f>IF(OR('Start here'!$B$5="",UPPER(SUBSTITUTE('Start here'!$B$6," ",""))=""),"",MID(UPPER(SUBSTITUTE('Start here'!$B$6," ","")),MOD(DATE(2026,5,9)-'Start here'!$B$5,LEN(UPPER(SUBSTITUTE('Start here'!$B$6," ",""))))+1,1))</f>
        <v/>
      </c>
      <c r="Q25" s="22">
        <f>IF(OR('Start here'!$B$5="",UPPER(SUBSTITUTE('Start here'!$B$6," ",""))=""),"",MID(UPPER(SUBSTITUTE('Start here'!$B$6," ","")),MOD(DATE(2026,6,7)-'Start here'!$B$5,LEN(UPPER(SUBSTITUTE('Start here'!$B$6," ",""))))+1,1))</f>
        <v/>
      </c>
      <c r="R25" s="22">
        <f>IF(OR('Start here'!$B$5="",UPPER(SUBSTITUTE('Start here'!$B$6," ",""))=""),"",MID(UPPER(SUBSTITUTE('Start here'!$B$6," ","")),MOD(DATE(2026,6,8)-'Start here'!$B$5,LEN(UPPER(SUBSTITUTE('Start here'!$B$6," ",""))))+1,1))</f>
        <v/>
      </c>
      <c r="S25" s="22">
        <f>IF(OR('Start here'!$B$5="",UPPER(SUBSTITUTE('Start here'!$B$6," ",""))=""),"",MID(UPPER(SUBSTITUTE('Start here'!$B$6," ","")),MOD(DATE(2026,6,9)-'Start here'!$B$5,LEN(UPPER(SUBSTITUTE('Start here'!$B$6," ",""))))+1,1))</f>
        <v/>
      </c>
      <c r="T25" s="22">
        <f>IF(OR('Start here'!$B$5="",UPPER(SUBSTITUTE('Start here'!$B$6," ",""))=""),"",MID(UPPER(SUBSTITUTE('Start here'!$B$6," ","")),MOD(DATE(2026,6,10)-'Start here'!$B$5,LEN(UPPER(SUBSTITUTE('Start here'!$B$6," ",""))))+1,1))</f>
        <v/>
      </c>
      <c r="U25" s="22">
        <f>IF(OR('Start here'!$B$5="",UPPER(SUBSTITUTE('Start here'!$B$6," ",""))=""),"",MID(UPPER(SUBSTITUTE('Start here'!$B$6," ","")),MOD(DATE(2026,6,11)-'Start here'!$B$5,LEN(UPPER(SUBSTITUTE('Start here'!$B$6," ",""))))+1,1))</f>
        <v/>
      </c>
      <c r="V25" s="22">
        <f>IF(OR('Start here'!$B$5="",UPPER(SUBSTITUTE('Start here'!$B$6," ",""))=""),"",MID(UPPER(SUBSTITUTE('Start here'!$B$6," ","")),MOD(DATE(2026,6,12)-'Start here'!$B$5,LEN(UPPER(SUBSTITUTE('Start here'!$B$6," ",""))))+1,1))</f>
        <v/>
      </c>
      <c r="W25" s="22">
        <f>IF(OR('Start here'!$B$5="",UPPER(SUBSTITUTE('Start here'!$B$6," ",""))=""),"",MID(UPPER(SUBSTITUTE('Start here'!$B$6," ","")),MOD(DATE(2026,6,13)-'Start here'!$B$5,LEN(UPPER(SUBSTITUTE('Start here'!$B$6," ",""))))+1,1))</f>
        <v/>
      </c>
    </row>
    <row r="26">
      <c r="A26" s="20" t="n">
        <v>12</v>
      </c>
      <c r="B26" s="20" t="n">
        <v>13</v>
      </c>
      <c r="C26" s="20" t="n">
        <v>14</v>
      </c>
      <c r="D26" s="20" t="n">
        <v>15</v>
      </c>
      <c r="E26" s="20" t="n">
        <v>16</v>
      </c>
      <c r="F26" s="20" t="n">
        <v>17</v>
      </c>
      <c r="G26" s="20" t="n">
        <v>18</v>
      </c>
      <c r="I26" s="20" t="n">
        <v>10</v>
      </c>
      <c r="J26" s="20" t="n">
        <v>11</v>
      </c>
      <c r="K26" s="20" t="n">
        <v>12</v>
      </c>
      <c r="L26" s="20" t="n">
        <v>13</v>
      </c>
      <c r="M26" s="20" t="n">
        <v>14</v>
      </c>
      <c r="N26" s="20" t="n">
        <v>15</v>
      </c>
      <c r="O26" s="20" t="n">
        <v>16</v>
      </c>
      <c r="Q26" s="20" t="n">
        <v>14</v>
      </c>
      <c r="R26" s="20" t="n">
        <v>15</v>
      </c>
      <c r="S26" s="20" t="n">
        <v>16</v>
      </c>
      <c r="T26" s="20" t="n">
        <v>17</v>
      </c>
      <c r="U26" s="20" t="n">
        <v>18</v>
      </c>
      <c r="V26" s="20" t="n">
        <v>19</v>
      </c>
      <c r="W26" s="20" t="n">
        <v>20</v>
      </c>
    </row>
    <row r="27">
      <c r="A27" s="22">
        <f>IF(OR('Start here'!$B$5="",UPPER(SUBSTITUTE('Start here'!$B$6," ",""))=""),"",MID(UPPER(SUBSTITUTE('Start here'!$B$6," ","")),MOD(DATE(2026,4,12)-'Start here'!$B$5,LEN(UPPER(SUBSTITUTE('Start here'!$B$6," ",""))))+1,1))</f>
        <v/>
      </c>
      <c r="B27" s="22">
        <f>IF(OR('Start here'!$B$5="",UPPER(SUBSTITUTE('Start here'!$B$6," ",""))=""),"",MID(UPPER(SUBSTITUTE('Start here'!$B$6," ","")),MOD(DATE(2026,4,13)-'Start here'!$B$5,LEN(UPPER(SUBSTITUTE('Start here'!$B$6," ",""))))+1,1))</f>
        <v/>
      </c>
      <c r="C27" s="22">
        <f>IF(OR('Start here'!$B$5="",UPPER(SUBSTITUTE('Start here'!$B$6," ",""))=""),"",MID(UPPER(SUBSTITUTE('Start here'!$B$6," ","")),MOD(DATE(2026,4,14)-'Start here'!$B$5,LEN(UPPER(SUBSTITUTE('Start here'!$B$6," ",""))))+1,1))</f>
        <v/>
      </c>
      <c r="D27" s="22">
        <f>IF(OR('Start here'!$B$5="",UPPER(SUBSTITUTE('Start here'!$B$6," ",""))=""),"",MID(UPPER(SUBSTITUTE('Start here'!$B$6," ","")),MOD(DATE(2026,4,15)-'Start here'!$B$5,LEN(UPPER(SUBSTITUTE('Start here'!$B$6," ",""))))+1,1))</f>
        <v/>
      </c>
      <c r="E27" s="22">
        <f>IF(OR('Start here'!$B$5="",UPPER(SUBSTITUTE('Start here'!$B$6," ",""))=""),"",MID(UPPER(SUBSTITUTE('Start here'!$B$6," ","")),MOD(DATE(2026,4,16)-'Start here'!$B$5,LEN(UPPER(SUBSTITUTE('Start here'!$B$6," ",""))))+1,1))</f>
        <v/>
      </c>
      <c r="F27" s="22">
        <f>IF(OR('Start here'!$B$5="",UPPER(SUBSTITUTE('Start here'!$B$6," ",""))=""),"",MID(UPPER(SUBSTITUTE('Start here'!$B$6," ","")),MOD(DATE(2026,4,17)-'Start here'!$B$5,LEN(UPPER(SUBSTITUTE('Start here'!$B$6," ",""))))+1,1))</f>
        <v/>
      </c>
      <c r="G27" s="22">
        <f>IF(OR('Start here'!$B$5="",UPPER(SUBSTITUTE('Start here'!$B$6," ",""))=""),"",MID(UPPER(SUBSTITUTE('Start here'!$B$6," ","")),MOD(DATE(2026,4,18)-'Start here'!$B$5,LEN(UPPER(SUBSTITUTE('Start here'!$B$6," ",""))))+1,1))</f>
        <v/>
      </c>
      <c r="I27" s="22">
        <f>IF(OR('Start here'!$B$5="",UPPER(SUBSTITUTE('Start here'!$B$6," ",""))=""),"",MID(UPPER(SUBSTITUTE('Start here'!$B$6," ","")),MOD(DATE(2026,5,10)-'Start here'!$B$5,LEN(UPPER(SUBSTITUTE('Start here'!$B$6," ",""))))+1,1))</f>
        <v/>
      </c>
      <c r="J27" s="22">
        <f>IF(OR('Start here'!$B$5="",UPPER(SUBSTITUTE('Start here'!$B$6," ",""))=""),"",MID(UPPER(SUBSTITUTE('Start here'!$B$6," ","")),MOD(DATE(2026,5,11)-'Start here'!$B$5,LEN(UPPER(SUBSTITUTE('Start here'!$B$6," ",""))))+1,1))</f>
        <v/>
      </c>
      <c r="K27" s="22">
        <f>IF(OR('Start here'!$B$5="",UPPER(SUBSTITUTE('Start here'!$B$6," ",""))=""),"",MID(UPPER(SUBSTITUTE('Start here'!$B$6," ","")),MOD(DATE(2026,5,12)-'Start here'!$B$5,LEN(UPPER(SUBSTITUTE('Start here'!$B$6," ",""))))+1,1))</f>
        <v/>
      </c>
      <c r="L27" s="22">
        <f>IF(OR('Start here'!$B$5="",UPPER(SUBSTITUTE('Start here'!$B$6," ",""))=""),"",MID(UPPER(SUBSTITUTE('Start here'!$B$6," ","")),MOD(DATE(2026,5,13)-'Start here'!$B$5,LEN(UPPER(SUBSTITUTE('Start here'!$B$6," ",""))))+1,1))</f>
        <v/>
      </c>
      <c r="M27" s="22">
        <f>IF(OR('Start here'!$B$5="",UPPER(SUBSTITUTE('Start here'!$B$6," ",""))=""),"",MID(UPPER(SUBSTITUTE('Start here'!$B$6," ","")),MOD(DATE(2026,5,14)-'Start here'!$B$5,LEN(UPPER(SUBSTITUTE('Start here'!$B$6," ",""))))+1,1))</f>
        <v/>
      </c>
      <c r="N27" s="22">
        <f>IF(OR('Start here'!$B$5="",UPPER(SUBSTITUTE('Start here'!$B$6," ",""))=""),"",MID(UPPER(SUBSTITUTE('Start here'!$B$6," ","")),MOD(DATE(2026,5,15)-'Start here'!$B$5,LEN(UPPER(SUBSTITUTE('Start here'!$B$6," ",""))))+1,1))</f>
        <v/>
      </c>
      <c r="O27" s="22">
        <f>IF(OR('Start here'!$B$5="",UPPER(SUBSTITUTE('Start here'!$B$6," ",""))=""),"",MID(UPPER(SUBSTITUTE('Start here'!$B$6," ","")),MOD(DATE(2026,5,16)-'Start here'!$B$5,LEN(UPPER(SUBSTITUTE('Start here'!$B$6," ",""))))+1,1))</f>
        <v/>
      </c>
      <c r="Q27" s="22">
        <f>IF(OR('Start here'!$B$5="",UPPER(SUBSTITUTE('Start here'!$B$6," ",""))=""),"",MID(UPPER(SUBSTITUTE('Start here'!$B$6," ","")),MOD(DATE(2026,6,14)-'Start here'!$B$5,LEN(UPPER(SUBSTITUTE('Start here'!$B$6," ",""))))+1,1))</f>
        <v/>
      </c>
      <c r="R27" s="22">
        <f>IF(OR('Start here'!$B$5="",UPPER(SUBSTITUTE('Start here'!$B$6," ",""))=""),"",MID(UPPER(SUBSTITUTE('Start here'!$B$6," ","")),MOD(DATE(2026,6,15)-'Start here'!$B$5,LEN(UPPER(SUBSTITUTE('Start here'!$B$6," ",""))))+1,1))</f>
        <v/>
      </c>
      <c r="S27" s="22">
        <f>IF(OR('Start here'!$B$5="",UPPER(SUBSTITUTE('Start here'!$B$6," ",""))=""),"",MID(UPPER(SUBSTITUTE('Start here'!$B$6," ","")),MOD(DATE(2026,6,16)-'Start here'!$B$5,LEN(UPPER(SUBSTITUTE('Start here'!$B$6," ",""))))+1,1))</f>
        <v/>
      </c>
      <c r="T27" s="22">
        <f>IF(OR('Start here'!$B$5="",UPPER(SUBSTITUTE('Start here'!$B$6," ",""))=""),"",MID(UPPER(SUBSTITUTE('Start here'!$B$6," ","")),MOD(DATE(2026,6,17)-'Start here'!$B$5,LEN(UPPER(SUBSTITUTE('Start here'!$B$6," ",""))))+1,1))</f>
        <v/>
      </c>
      <c r="U27" s="22">
        <f>IF(OR('Start here'!$B$5="",UPPER(SUBSTITUTE('Start here'!$B$6," ",""))=""),"",MID(UPPER(SUBSTITUTE('Start here'!$B$6," ","")),MOD(DATE(2026,6,18)-'Start here'!$B$5,LEN(UPPER(SUBSTITUTE('Start here'!$B$6," ",""))))+1,1))</f>
        <v/>
      </c>
      <c r="V27" s="22">
        <f>IF(OR('Start here'!$B$5="",UPPER(SUBSTITUTE('Start here'!$B$6," ",""))=""),"",MID(UPPER(SUBSTITUTE('Start here'!$B$6," ","")),MOD(DATE(2026,6,19)-'Start here'!$B$5,LEN(UPPER(SUBSTITUTE('Start here'!$B$6," ",""))))+1,1))</f>
        <v/>
      </c>
      <c r="W27" s="22">
        <f>IF(OR('Start here'!$B$5="",UPPER(SUBSTITUTE('Start here'!$B$6," ",""))=""),"",MID(UPPER(SUBSTITUTE('Start here'!$B$6," ","")),MOD(DATE(2026,6,20)-'Start here'!$B$5,LEN(UPPER(SUBSTITUTE('Start here'!$B$6," ",""))))+1,1))</f>
        <v/>
      </c>
    </row>
    <row r="28">
      <c r="A28" s="20" t="n">
        <v>19</v>
      </c>
      <c r="B28" s="20" t="n">
        <v>20</v>
      </c>
      <c r="C28" s="20" t="n">
        <v>21</v>
      </c>
      <c r="D28" s="20" t="n">
        <v>22</v>
      </c>
      <c r="E28" s="20" t="n">
        <v>23</v>
      </c>
      <c r="F28" s="20" t="n">
        <v>24</v>
      </c>
      <c r="G28" s="20" t="n">
        <v>25</v>
      </c>
      <c r="I28" s="20" t="n">
        <v>17</v>
      </c>
      <c r="J28" s="20" t="n">
        <v>18</v>
      </c>
      <c r="K28" s="20" t="n">
        <v>19</v>
      </c>
      <c r="L28" s="20" t="n">
        <v>20</v>
      </c>
      <c r="M28" s="20" t="n">
        <v>21</v>
      </c>
      <c r="N28" s="20" t="n">
        <v>22</v>
      </c>
      <c r="O28" s="20" t="n">
        <v>23</v>
      </c>
      <c r="Q28" s="20" t="n">
        <v>21</v>
      </c>
      <c r="R28" s="20" t="n">
        <v>22</v>
      </c>
      <c r="S28" s="20" t="n">
        <v>23</v>
      </c>
      <c r="T28" s="20" t="n">
        <v>24</v>
      </c>
      <c r="U28" s="20" t="n">
        <v>25</v>
      </c>
      <c r="V28" s="20" t="n">
        <v>26</v>
      </c>
      <c r="W28" s="20" t="n">
        <v>27</v>
      </c>
    </row>
    <row r="29">
      <c r="A29" s="22">
        <f>IF(OR('Start here'!$B$5="",UPPER(SUBSTITUTE('Start here'!$B$6," ",""))=""),"",MID(UPPER(SUBSTITUTE('Start here'!$B$6," ","")),MOD(DATE(2026,4,19)-'Start here'!$B$5,LEN(UPPER(SUBSTITUTE('Start here'!$B$6," ",""))))+1,1))</f>
        <v/>
      </c>
      <c r="B29" s="22">
        <f>IF(OR('Start here'!$B$5="",UPPER(SUBSTITUTE('Start here'!$B$6," ",""))=""),"",MID(UPPER(SUBSTITUTE('Start here'!$B$6," ","")),MOD(DATE(2026,4,20)-'Start here'!$B$5,LEN(UPPER(SUBSTITUTE('Start here'!$B$6," ",""))))+1,1))</f>
        <v/>
      </c>
      <c r="C29" s="22">
        <f>IF(OR('Start here'!$B$5="",UPPER(SUBSTITUTE('Start here'!$B$6," ",""))=""),"",MID(UPPER(SUBSTITUTE('Start here'!$B$6," ","")),MOD(DATE(2026,4,21)-'Start here'!$B$5,LEN(UPPER(SUBSTITUTE('Start here'!$B$6," ",""))))+1,1))</f>
        <v/>
      </c>
      <c r="D29" s="22">
        <f>IF(OR('Start here'!$B$5="",UPPER(SUBSTITUTE('Start here'!$B$6," ",""))=""),"",MID(UPPER(SUBSTITUTE('Start here'!$B$6," ","")),MOD(DATE(2026,4,22)-'Start here'!$B$5,LEN(UPPER(SUBSTITUTE('Start here'!$B$6," ",""))))+1,1))</f>
        <v/>
      </c>
      <c r="E29" s="22">
        <f>IF(OR('Start here'!$B$5="",UPPER(SUBSTITUTE('Start here'!$B$6," ",""))=""),"",MID(UPPER(SUBSTITUTE('Start here'!$B$6," ","")),MOD(DATE(2026,4,23)-'Start here'!$B$5,LEN(UPPER(SUBSTITUTE('Start here'!$B$6," ",""))))+1,1))</f>
        <v/>
      </c>
      <c r="F29" s="22">
        <f>IF(OR('Start here'!$B$5="",UPPER(SUBSTITUTE('Start here'!$B$6," ",""))=""),"",MID(UPPER(SUBSTITUTE('Start here'!$B$6," ","")),MOD(DATE(2026,4,24)-'Start here'!$B$5,LEN(UPPER(SUBSTITUTE('Start here'!$B$6," ",""))))+1,1))</f>
        <v/>
      </c>
      <c r="G29" s="22">
        <f>IF(OR('Start here'!$B$5="",UPPER(SUBSTITUTE('Start here'!$B$6," ",""))=""),"",MID(UPPER(SUBSTITUTE('Start here'!$B$6," ","")),MOD(DATE(2026,4,25)-'Start here'!$B$5,LEN(UPPER(SUBSTITUTE('Start here'!$B$6," ",""))))+1,1))</f>
        <v/>
      </c>
      <c r="I29" s="22">
        <f>IF(OR('Start here'!$B$5="",UPPER(SUBSTITUTE('Start here'!$B$6," ",""))=""),"",MID(UPPER(SUBSTITUTE('Start here'!$B$6," ","")),MOD(DATE(2026,5,17)-'Start here'!$B$5,LEN(UPPER(SUBSTITUTE('Start here'!$B$6," ",""))))+1,1))</f>
        <v/>
      </c>
      <c r="J29" s="22">
        <f>IF(OR('Start here'!$B$5="",UPPER(SUBSTITUTE('Start here'!$B$6," ",""))=""),"",MID(UPPER(SUBSTITUTE('Start here'!$B$6," ","")),MOD(DATE(2026,5,18)-'Start here'!$B$5,LEN(UPPER(SUBSTITUTE('Start here'!$B$6," ",""))))+1,1))</f>
        <v/>
      </c>
      <c r="K29" s="22">
        <f>IF(OR('Start here'!$B$5="",UPPER(SUBSTITUTE('Start here'!$B$6," ",""))=""),"",MID(UPPER(SUBSTITUTE('Start here'!$B$6," ","")),MOD(DATE(2026,5,19)-'Start here'!$B$5,LEN(UPPER(SUBSTITUTE('Start here'!$B$6," ",""))))+1,1))</f>
        <v/>
      </c>
      <c r="L29" s="22">
        <f>IF(OR('Start here'!$B$5="",UPPER(SUBSTITUTE('Start here'!$B$6," ",""))=""),"",MID(UPPER(SUBSTITUTE('Start here'!$B$6," ","")),MOD(DATE(2026,5,20)-'Start here'!$B$5,LEN(UPPER(SUBSTITUTE('Start here'!$B$6," ",""))))+1,1))</f>
        <v/>
      </c>
      <c r="M29" s="22">
        <f>IF(OR('Start here'!$B$5="",UPPER(SUBSTITUTE('Start here'!$B$6," ",""))=""),"",MID(UPPER(SUBSTITUTE('Start here'!$B$6," ","")),MOD(DATE(2026,5,21)-'Start here'!$B$5,LEN(UPPER(SUBSTITUTE('Start here'!$B$6," ",""))))+1,1))</f>
        <v/>
      </c>
      <c r="N29" s="22">
        <f>IF(OR('Start here'!$B$5="",UPPER(SUBSTITUTE('Start here'!$B$6," ",""))=""),"",MID(UPPER(SUBSTITUTE('Start here'!$B$6," ","")),MOD(DATE(2026,5,22)-'Start here'!$B$5,LEN(UPPER(SUBSTITUTE('Start here'!$B$6," ",""))))+1,1))</f>
        <v/>
      </c>
      <c r="O29" s="22">
        <f>IF(OR('Start here'!$B$5="",UPPER(SUBSTITUTE('Start here'!$B$6," ",""))=""),"",MID(UPPER(SUBSTITUTE('Start here'!$B$6," ","")),MOD(DATE(2026,5,23)-'Start here'!$B$5,LEN(UPPER(SUBSTITUTE('Start here'!$B$6," ",""))))+1,1))</f>
        <v/>
      </c>
      <c r="Q29" s="22">
        <f>IF(OR('Start here'!$B$5="",UPPER(SUBSTITUTE('Start here'!$B$6," ",""))=""),"",MID(UPPER(SUBSTITUTE('Start here'!$B$6," ","")),MOD(DATE(2026,6,21)-'Start here'!$B$5,LEN(UPPER(SUBSTITUTE('Start here'!$B$6," ",""))))+1,1))</f>
        <v/>
      </c>
      <c r="R29" s="22">
        <f>IF(OR('Start here'!$B$5="",UPPER(SUBSTITUTE('Start here'!$B$6," ",""))=""),"",MID(UPPER(SUBSTITUTE('Start here'!$B$6," ","")),MOD(DATE(2026,6,22)-'Start here'!$B$5,LEN(UPPER(SUBSTITUTE('Start here'!$B$6," ",""))))+1,1))</f>
        <v/>
      </c>
      <c r="S29" s="22">
        <f>IF(OR('Start here'!$B$5="",UPPER(SUBSTITUTE('Start here'!$B$6," ",""))=""),"",MID(UPPER(SUBSTITUTE('Start here'!$B$6," ","")),MOD(DATE(2026,6,23)-'Start here'!$B$5,LEN(UPPER(SUBSTITUTE('Start here'!$B$6," ",""))))+1,1))</f>
        <v/>
      </c>
      <c r="T29" s="22">
        <f>IF(OR('Start here'!$B$5="",UPPER(SUBSTITUTE('Start here'!$B$6," ",""))=""),"",MID(UPPER(SUBSTITUTE('Start here'!$B$6," ","")),MOD(DATE(2026,6,24)-'Start here'!$B$5,LEN(UPPER(SUBSTITUTE('Start here'!$B$6," ",""))))+1,1))</f>
        <v/>
      </c>
      <c r="U29" s="22">
        <f>IF(OR('Start here'!$B$5="",UPPER(SUBSTITUTE('Start here'!$B$6," ",""))=""),"",MID(UPPER(SUBSTITUTE('Start here'!$B$6," ","")),MOD(DATE(2026,6,25)-'Start here'!$B$5,LEN(UPPER(SUBSTITUTE('Start here'!$B$6," ",""))))+1,1))</f>
        <v/>
      </c>
      <c r="V29" s="22">
        <f>IF(OR('Start here'!$B$5="",UPPER(SUBSTITUTE('Start here'!$B$6," ",""))=""),"",MID(UPPER(SUBSTITUTE('Start here'!$B$6," ","")),MOD(DATE(2026,6,26)-'Start here'!$B$5,LEN(UPPER(SUBSTITUTE('Start here'!$B$6," ",""))))+1,1))</f>
        <v/>
      </c>
      <c r="W29" s="22">
        <f>IF(OR('Start here'!$B$5="",UPPER(SUBSTITUTE('Start here'!$B$6," ",""))=""),"",MID(UPPER(SUBSTITUTE('Start here'!$B$6," ","")),MOD(DATE(2026,6,27)-'Start here'!$B$5,LEN(UPPER(SUBSTITUTE('Start here'!$B$6," ",""))))+1,1))</f>
        <v/>
      </c>
    </row>
    <row r="30">
      <c r="A30" s="20" t="n">
        <v>26</v>
      </c>
      <c r="B30" s="20" t="n">
        <v>27</v>
      </c>
      <c r="C30" s="20" t="n">
        <v>28</v>
      </c>
      <c r="D30" s="20" t="n">
        <v>29</v>
      </c>
      <c r="E30" s="20" t="n">
        <v>30</v>
      </c>
      <c r="F30" s="19" t="n"/>
      <c r="G30" s="19" t="n"/>
      <c r="I30" s="20" t="n">
        <v>24</v>
      </c>
      <c r="J30" s="20" t="n">
        <v>25</v>
      </c>
      <c r="K30" s="20" t="n">
        <v>26</v>
      </c>
      <c r="L30" s="20" t="n">
        <v>27</v>
      </c>
      <c r="M30" s="20" t="n">
        <v>28</v>
      </c>
      <c r="N30" s="20" t="n">
        <v>29</v>
      </c>
      <c r="O30" s="20" t="n">
        <v>30</v>
      </c>
      <c r="Q30" s="20" t="n">
        <v>28</v>
      </c>
      <c r="R30" s="20" t="n">
        <v>29</v>
      </c>
      <c r="S30" s="20" t="n">
        <v>30</v>
      </c>
      <c r="T30" s="19" t="n"/>
      <c r="U30" s="19" t="n"/>
      <c r="V30" s="19" t="n"/>
      <c r="W30" s="19" t="n"/>
    </row>
    <row r="31">
      <c r="A31" s="22">
        <f>IF(OR('Start here'!$B$5="",UPPER(SUBSTITUTE('Start here'!$B$6," ",""))=""),"",MID(UPPER(SUBSTITUTE('Start here'!$B$6," ","")),MOD(DATE(2026,4,26)-'Start here'!$B$5,LEN(UPPER(SUBSTITUTE('Start here'!$B$6," ",""))))+1,1))</f>
        <v/>
      </c>
      <c r="B31" s="22">
        <f>IF(OR('Start here'!$B$5="",UPPER(SUBSTITUTE('Start here'!$B$6," ",""))=""),"",MID(UPPER(SUBSTITUTE('Start here'!$B$6," ","")),MOD(DATE(2026,4,27)-'Start here'!$B$5,LEN(UPPER(SUBSTITUTE('Start here'!$B$6," ",""))))+1,1))</f>
        <v/>
      </c>
      <c r="C31" s="22">
        <f>IF(OR('Start here'!$B$5="",UPPER(SUBSTITUTE('Start here'!$B$6," ",""))=""),"",MID(UPPER(SUBSTITUTE('Start here'!$B$6," ","")),MOD(DATE(2026,4,28)-'Start here'!$B$5,LEN(UPPER(SUBSTITUTE('Start here'!$B$6," ",""))))+1,1))</f>
        <v/>
      </c>
      <c r="D31" s="22">
        <f>IF(OR('Start here'!$B$5="",UPPER(SUBSTITUTE('Start here'!$B$6," ",""))=""),"",MID(UPPER(SUBSTITUTE('Start here'!$B$6," ","")),MOD(DATE(2026,4,29)-'Start here'!$B$5,LEN(UPPER(SUBSTITUTE('Start here'!$B$6," ",""))))+1,1))</f>
        <v/>
      </c>
      <c r="E31" s="22">
        <f>IF(OR('Start here'!$B$5="",UPPER(SUBSTITUTE('Start here'!$B$6," ",""))=""),"",MID(UPPER(SUBSTITUTE('Start here'!$B$6," ","")),MOD(DATE(2026,4,30)-'Start here'!$B$5,LEN(UPPER(SUBSTITUTE('Start here'!$B$6," ",""))))+1,1))</f>
        <v/>
      </c>
      <c r="F31" s="21" t="n"/>
      <c r="G31" s="21" t="n"/>
      <c r="I31" s="22">
        <f>IF(OR('Start here'!$B$5="",UPPER(SUBSTITUTE('Start here'!$B$6," ",""))=""),"",MID(UPPER(SUBSTITUTE('Start here'!$B$6," ","")),MOD(DATE(2026,5,24)-'Start here'!$B$5,LEN(UPPER(SUBSTITUTE('Start here'!$B$6," ",""))))+1,1))</f>
        <v/>
      </c>
      <c r="J31" s="22">
        <f>IF(OR('Start here'!$B$5="",UPPER(SUBSTITUTE('Start here'!$B$6," ",""))=""),"",MID(UPPER(SUBSTITUTE('Start here'!$B$6," ","")),MOD(DATE(2026,5,25)-'Start here'!$B$5,LEN(UPPER(SUBSTITUTE('Start here'!$B$6," ",""))))+1,1))</f>
        <v/>
      </c>
      <c r="K31" s="22">
        <f>IF(OR('Start here'!$B$5="",UPPER(SUBSTITUTE('Start here'!$B$6," ",""))=""),"",MID(UPPER(SUBSTITUTE('Start here'!$B$6," ","")),MOD(DATE(2026,5,26)-'Start here'!$B$5,LEN(UPPER(SUBSTITUTE('Start here'!$B$6," ",""))))+1,1))</f>
        <v/>
      </c>
      <c r="L31" s="22">
        <f>IF(OR('Start here'!$B$5="",UPPER(SUBSTITUTE('Start here'!$B$6," ",""))=""),"",MID(UPPER(SUBSTITUTE('Start here'!$B$6," ","")),MOD(DATE(2026,5,27)-'Start here'!$B$5,LEN(UPPER(SUBSTITUTE('Start here'!$B$6," ",""))))+1,1))</f>
        <v/>
      </c>
      <c r="M31" s="22">
        <f>IF(OR('Start here'!$B$5="",UPPER(SUBSTITUTE('Start here'!$B$6," ",""))=""),"",MID(UPPER(SUBSTITUTE('Start here'!$B$6," ","")),MOD(DATE(2026,5,28)-'Start here'!$B$5,LEN(UPPER(SUBSTITUTE('Start here'!$B$6," ",""))))+1,1))</f>
        <v/>
      </c>
      <c r="N31" s="22">
        <f>IF(OR('Start here'!$B$5="",UPPER(SUBSTITUTE('Start here'!$B$6," ",""))=""),"",MID(UPPER(SUBSTITUTE('Start here'!$B$6," ","")),MOD(DATE(2026,5,29)-'Start here'!$B$5,LEN(UPPER(SUBSTITUTE('Start here'!$B$6," ",""))))+1,1))</f>
        <v/>
      </c>
      <c r="O31" s="22">
        <f>IF(OR('Start here'!$B$5="",UPPER(SUBSTITUTE('Start here'!$B$6," ",""))=""),"",MID(UPPER(SUBSTITUTE('Start here'!$B$6," ","")),MOD(DATE(2026,5,30)-'Start here'!$B$5,LEN(UPPER(SUBSTITUTE('Start here'!$B$6," ",""))))+1,1))</f>
        <v/>
      </c>
      <c r="Q31" s="22">
        <f>IF(OR('Start here'!$B$5="",UPPER(SUBSTITUTE('Start here'!$B$6," ",""))=""),"",MID(UPPER(SUBSTITUTE('Start here'!$B$6," ","")),MOD(DATE(2026,6,28)-'Start here'!$B$5,LEN(UPPER(SUBSTITUTE('Start here'!$B$6," ",""))))+1,1))</f>
        <v/>
      </c>
      <c r="R31" s="22">
        <f>IF(OR('Start here'!$B$5="",UPPER(SUBSTITUTE('Start here'!$B$6," ",""))=""),"",MID(UPPER(SUBSTITUTE('Start here'!$B$6," ","")),MOD(DATE(2026,6,29)-'Start here'!$B$5,LEN(UPPER(SUBSTITUTE('Start here'!$B$6," ",""))))+1,1))</f>
        <v/>
      </c>
      <c r="S31" s="22">
        <f>IF(OR('Start here'!$B$5="",UPPER(SUBSTITUTE('Start here'!$B$6," ",""))=""),"",MID(UPPER(SUBSTITUTE('Start here'!$B$6," ","")),MOD(DATE(2026,6,30)-'Start here'!$B$5,LEN(UPPER(SUBSTITUTE('Start here'!$B$6," ",""))))+1,1))</f>
        <v/>
      </c>
      <c r="T31" s="21" t="n"/>
      <c r="U31" s="21" t="n"/>
      <c r="V31" s="21" t="n"/>
      <c r="W31" s="21" t="n"/>
    </row>
    <row r="32">
      <c r="A32" s="19" t="n"/>
      <c r="B32" s="19" t="n"/>
      <c r="C32" s="19" t="n"/>
      <c r="D32" s="19" t="n"/>
      <c r="E32" s="19" t="n"/>
      <c r="F32" s="19" t="n"/>
      <c r="G32" s="19" t="n"/>
      <c r="I32" s="20" t="n">
        <v>31</v>
      </c>
      <c r="J32" s="19" t="n"/>
      <c r="K32" s="19" t="n"/>
      <c r="L32" s="19" t="n"/>
      <c r="M32" s="19" t="n"/>
      <c r="N32" s="19" t="n"/>
      <c r="O32" s="19" t="n"/>
      <c r="Q32" s="19" t="n"/>
      <c r="R32" s="19" t="n"/>
      <c r="S32" s="19" t="n"/>
      <c r="T32" s="19" t="n"/>
      <c r="U32" s="19" t="n"/>
      <c r="V32" s="19" t="n"/>
      <c r="W32" s="19" t="n"/>
    </row>
    <row r="33">
      <c r="A33" s="21" t="n"/>
      <c r="B33" s="21" t="n"/>
      <c r="C33" s="21" t="n"/>
      <c r="D33" s="21" t="n"/>
      <c r="E33" s="21" t="n"/>
      <c r="F33" s="21" t="n"/>
      <c r="G33" s="21" t="n"/>
      <c r="I33" s="22">
        <f>IF(OR('Start here'!$B$5="",UPPER(SUBSTITUTE('Start here'!$B$6," ",""))=""),"",MID(UPPER(SUBSTITUTE('Start here'!$B$6," ","")),MOD(DATE(2026,5,31)-'Start here'!$B$5,LEN(UPPER(SUBSTITUTE('Start here'!$B$6," ",""))))+1,1))</f>
        <v/>
      </c>
      <c r="J33" s="21" t="n"/>
      <c r="K33" s="21" t="n"/>
      <c r="L33" s="21" t="n"/>
      <c r="M33" s="21" t="n"/>
      <c r="N33" s="21" t="n"/>
      <c r="O33" s="21" t="n"/>
      <c r="Q33" s="21" t="n"/>
      <c r="R33" s="21" t="n"/>
      <c r="S33" s="21" t="n"/>
      <c r="T33" s="21" t="n"/>
      <c r="U33" s="21" t="n"/>
      <c r="V33" s="21" t="n"/>
      <c r="W33" s="21" t="n"/>
    </row>
    <row r="34">
      <c r="A34" s="23" t="inlineStr">
        <is>
          <t>Nights A</t>
        </is>
      </c>
      <c r="C34" s="24">
        <f>COUNTIF(A23:G33,"A")</f>
        <v/>
      </c>
      <c r="E34" s="23" t="inlineStr">
        <is>
          <t>B</t>
        </is>
      </c>
      <c r="F34" s="24">
        <f>COUNTIF(A23:G33,"B")</f>
        <v/>
      </c>
      <c r="I34" s="23" t="inlineStr">
        <is>
          <t>Nights A</t>
        </is>
      </c>
      <c r="K34" s="24">
        <f>COUNTIF(I23:O33,"A")</f>
        <v/>
      </c>
      <c r="M34" s="23" t="inlineStr">
        <is>
          <t>B</t>
        </is>
      </c>
      <c r="N34" s="24">
        <f>COUNTIF(I23:O33,"B")</f>
        <v/>
      </c>
      <c r="Q34" s="23" t="inlineStr">
        <is>
          <t>Nights A</t>
        </is>
      </c>
      <c r="S34" s="24">
        <f>COUNTIF(Q23:W33,"A")</f>
        <v/>
      </c>
      <c r="U34" s="23" t="inlineStr">
        <is>
          <t>B</t>
        </is>
      </c>
      <c r="V34" s="24">
        <f>COUNTIF(Q23:W33,"B")</f>
        <v/>
      </c>
    </row>
    <row r="36">
      <c r="A36" s="16" t="inlineStr">
        <is>
          <t>July 2026</t>
        </is>
      </c>
      <c r="B36" s="17" t="n"/>
      <c r="C36" s="17" t="n"/>
      <c r="D36" s="17" t="n"/>
      <c r="E36" s="17" t="n"/>
      <c r="F36" s="17" t="n"/>
      <c r="G36" s="17" t="n"/>
      <c r="I36" s="16" t="inlineStr">
        <is>
          <t>August 2026</t>
        </is>
      </c>
      <c r="J36" s="17" t="n"/>
      <c r="K36" s="17" t="n"/>
      <c r="L36" s="17" t="n"/>
      <c r="M36" s="17" t="n"/>
      <c r="N36" s="17" t="n"/>
      <c r="O36" s="17" t="n"/>
      <c r="Q36" s="16" t="inlineStr">
        <is>
          <t>September 2026</t>
        </is>
      </c>
      <c r="R36" s="17" t="n"/>
      <c r="S36" s="17" t="n"/>
      <c r="T36" s="17" t="n"/>
      <c r="U36" s="17" t="n"/>
      <c r="V36" s="17" t="n"/>
      <c r="W36" s="17" t="n"/>
    </row>
    <row r="37">
      <c r="A37" s="18" t="inlineStr">
        <is>
          <t>S</t>
        </is>
      </c>
      <c r="B37" s="18" t="inlineStr">
        <is>
          <t>M</t>
        </is>
      </c>
      <c r="C37" s="18" t="inlineStr">
        <is>
          <t>T</t>
        </is>
      </c>
      <c r="D37" s="18" t="inlineStr">
        <is>
          <t>W</t>
        </is>
      </c>
      <c r="E37" s="18" t="inlineStr">
        <is>
          <t>T</t>
        </is>
      </c>
      <c r="F37" s="18" t="inlineStr">
        <is>
          <t>F</t>
        </is>
      </c>
      <c r="G37" s="18" t="inlineStr">
        <is>
          <t>S</t>
        </is>
      </c>
      <c r="I37" s="18" t="inlineStr">
        <is>
          <t>S</t>
        </is>
      </c>
      <c r="J37" s="18" t="inlineStr">
        <is>
          <t>M</t>
        </is>
      </c>
      <c r="K37" s="18" t="inlineStr">
        <is>
          <t>T</t>
        </is>
      </c>
      <c r="L37" s="18" t="inlineStr">
        <is>
          <t>W</t>
        </is>
      </c>
      <c r="M37" s="18" t="inlineStr">
        <is>
          <t>T</t>
        </is>
      </c>
      <c r="N37" s="18" t="inlineStr">
        <is>
          <t>F</t>
        </is>
      </c>
      <c r="O37" s="18" t="inlineStr">
        <is>
          <t>S</t>
        </is>
      </c>
      <c r="Q37" s="18" t="inlineStr">
        <is>
          <t>S</t>
        </is>
      </c>
      <c r="R37" s="18" t="inlineStr">
        <is>
          <t>M</t>
        </is>
      </c>
      <c r="S37" s="18" t="inlineStr">
        <is>
          <t>T</t>
        </is>
      </c>
      <c r="T37" s="18" t="inlineStr">
        <is>
          <t>W</t>
        </is>
      </c>
      <c r="U37" s="18" t="inlineStr">
        <is>
          <t>T</t>
        </is>
      </c>
      <c r="V37" s="18" t="inlineStr">
        <is>
          <t>F</t>
        </is>
      </c>
      <c r="W37" s="18" t="inlineStr">
        <is>
          <t>S</t>
        </is>
      </c>
    </row>
    <row r="38">
      <c r="A38" s="19" t="n"/>
      <c r="B38" s="19" t="n"/>
      <c r="C38" s="19" t="n"/>
      <c r="D38" s="20" t="n">
        <v>1</v>
      </c>
      <c r="E38" s="20" t="n">
        <v>2</v>
      </c>
      <c r="F38" s="20" t="n">
        <v>3</v>
      </c>
      <c r="G38" s="20" t="n">
        <v>4</v>
      </c>
      <c r="I38" s="19" t="n"/>
      <c r="J38" s="19" t="n"/>
      <c r="K38" s="19" t="n"/>
      <c r="L38" s="19" t="n"/>
      <c r="M38" s="19" t="n"/>
      <c r="N38" s="19" t="n"/>
      <c r="O38" s="20" t="n">
        <v>1</v>
      </c>
      <c r="Q38" s="19" t="n"/>
      <c r="R38" s="19" t="n"/>
      <c r="S38" s="20" t="n">
        <v>1</v>
      </c>
      <c r="T38" s="20" t="n">
        <v>2</v>
      </c>
      <c r="U38" s="20" t="n">
        <v>3</v>
      </c>
      <c r="V38" s="20" t="n">
        <v>4</v>
      </c>
      <c r="W38" s="20" t="n">
        <v>5</v>
      </c>
    </row>
    <row r="39">
      <c r="A39" s="21" t="n"/>
      <c r="B39" s="21" t="n"/>
      <c r="C39" s="21" t="n"/>
      <c r="D39" s="22">
        <f>IF(OR('Start here'!$B$5="",UPPER(SUBSTITUTE('Start here'!$B$6," ",""))=""),"",MID(UPPER(SUBSTITUTE('Start here'!$B$6," ","")),MOD(DATE(2026,7,1)-'Start here'!$B$5,LEN(UPPER(SUBSTITUTE('Start here'!$B$6," ",""))))+1,1))</f>
        <v/>
      </c>
      <c r="E39" s="22">
        <f>IF(OR('Start here'!$B$5="",UPPER(SUBSTITUTE('Start here'!$B$6," ",""))=""),"",MID(UPPER(SUBSTITUTE('Start here'!$B$6," ","")),MOD(DATE(2026,7,2)-'Start here'!$B$5,LEN(UPPER(SUBSTITUTE('Start here'!$B$6," ",""))))+1,1))</f>
        <v/>
      </c>
      <c r="F39" s="22">
        <f>IF(OR('Start here'!$B$5="",UPPER(SUBSTITUTE('Start here'!$B$6," ",""))=""),"",MID(UPPER(SUBSTITUTE('Start here'!$B$6," ","")),MOD(DATE(2026,7,3)-'Start here'!$B$5,LEN(UPPER(SUBSTITUTE('Start here'!$B$6," ",""))))+1,1))</f>
        <v/>
      </c>
      <c r="G39" s="22">
        <f>IF(OR('Start here'!$B$5="",UPPER(SUBSTITUTE('Start here'!$B$6," ",""))=""),"",MID(UPPER(SUBSTITUTE('Start here'!$B$6," ","")),MOD(DATE(2026,7,4)-'Start here'!$B$5,LEN(UPPER(SUBSTITUTE('Start here'!$B$6," ",""))))+1,1))</f>
        <v/>
      </c>
      <c r="I39" s="21" t="n"/>
      <c r="J39" s="21" t="n"/>
      <c r="K39" s="21" t="n"/>
      <c r="L39" s="21" t="n"/>
      <c r="M39" s="21" t="n"/>
      <c r="N39" s="21" t="n"/>
      <c r="O39" s="22">
        <f>IF(OR('Start here'!$B$5="",UPPER(SUBSTITUTE('Start here'!$B$6," ",""))=""),"",MID(UPPER(SUBSTITUTE('Start here'!$B$6," ","")),MOD(DATE(2026,8,1)-'Start here'!$B$5,LEN(UPPER(SUBSTITUTE('Start here'!$B$6," ",""))))+1,1))</f>
        <v/>
      </c>
      <c r="Q39" s="21" t="n"/>
      <c r="R39" s="21" t="n"/>
      <c r="S39" s="22">
        <f>IF(OR('Start here'!$B$5="",UPPER(SUBSTITUTE('Start here'!$B$6," ",""))=""),"",MID(UPPER(SUBSTITUTE('Start here'!$B$6," ","")),MOD(DATE(2026,9,1)-'Start here'!$B$5,LEN(UPPER(SUBSTITUTE('Start here'!$B$6," ",""))))+1,1))</f>
        <v/>
      </c>
      <c r="T39" s="22">
        <f>IF(OR('Start here'!$B$5="",UPPER(SUBSTITUTE('Start here'!$B$6," ",""))=""),"",MID(UPPER(SUBSTITUTE('Start here'!$B$6," ","")),MOD(DATE(2026,9,2)-'Start here'!$B$5,LEN(UPPER(SUBSTITUTE('Start here'!$B$6," ",""))))+1,1))</f>
        <v/>
      </c>
      <c r="U39" s="22">
        <f>IF(OR('Start here'!$B$5="",UPPER(SUBSTITUTE('Start here'!$B$6," ",""))=""),"",MID(UPPER(SUBSTITUTE('Start here'!$B$6," ","")),MOD(DATE(2026,9,3)-'Start here'!$B$5,LEN(UPPER(SUBSTITUTE('Start here'!$B$6," ",""))))+1,1))</f>
        <v/>
      </c>
      <c r="V39" s="22">
        <f>IF(OR('Start here'!$B$5="",UPPER(SUBSTITUTE('Start here'!$B$6," ",""))=""),"",MID(UPPER(SUBSTITUTE('Start here'!$B$6," ","")),MOD(DATE(2026,9,4)-'Start here'!$B$5,LEN(UPPER(SUBSTITUTE('Start here'!$B$6," ",""))))+1,1))</f>
        <v/>
      </c>
      <c r="W39" s="22">
        <f>IF(OR('Start here'!$B$5="",UPPER(SUBSTITUTE('Start here'!$B$6," ",""))=""),"",MID(UPPER(SUBSTITUTE('Start here'!$B$6," ","")),MOD(DATE(2026,9,5)-'Start here'!$B$5,LEN(UPPER(SUBSTITUTE('Start here'!$B$6," ",""))))+1,1))</f>
        <v/>
      </c>
    </row>
    <row r="40">
      <c r="A40" s="20" t="n">
        <v>5</v>
      </c>
      <c r="B40" s="20" t="n">
        <v>6</v>
      </c>
      <c r="C40" s="20" t="n">
        <v>7</v>
      </c>
      <c r="D40" s="20" t="n">
        <v>8</v>
      </c>
      <c r="E40" s="20" t="n">
        <v>9</v>
      </c>
      <c r="F40" s="20" t="n">
        <v>10</v>
      </c>
      <c r="G40" s="20" t="n">
        <v>11</v>
      </c>
      <c r="I40" s="20" t="n">
        <v>2</v>
      </c>
      <c r="J40" s="20" t="n">
        <v>3</v>
      </c>
      <c r="K40" s="20" t="n">
        <v>4</v>
      </c>
      <c r="L40" s="20" t="n">
        <v>5</v>
      </c>
      <c r="M40" s="20" t="n">
        <v>6</v>
      </c>
      <c r="N40" s="20" t="n">
        <v>7</v>
      </c>
      <c r="O40" s="20" t="n">
        <v>8</v>
      </c>
      <c r="Q40" s="20" t="n">
        <v>6</v>
      </c>
      <c r="R40" s="20" t="n">
        <v>7</v>
      </c>
      <c r="S40" s="20" t="n">
        <v>8</v>
      </c>
      <c r="T40" s="20" t="n">
        <v>9</v>
      </c>
      <c r="U40" s="20" t="n">
        <v>10</v>
      </c>
      <c r="V40" s="20" t="n">
        <v>11</v>
      </c>
      <c r="W40" s="20" t="n">
        <v>12</v>
      </c>
    </row>
    <row r="41">
      <c r="A41" s="22">
        <f>IF(OR('Start here'!$B$5="",UPPER(SUBSTITUTE('Start here'!$B$6," ",""))=""),"",MID(UPPER(SUBSTITUTE('Start here'!$B$6," ","")),MOD(DATE(2026,7,5)-'Start here'!$B$5,LEN(UPPER(SUBSTITUTE('Start here'!$B$6," ",""))))+1,1))</f>
        <v/>
      </c>
      <c r="B41" s="22">
        <f>IF(OR('Start here'!$B$5="",UPPER(SUBSTITUTE('Start here'!$B$6," ",""))=""),"",MID(UPPER(SUBSTITUTE('Start here'!$B$6," ","")),MOD(DATE(2026,7,6)-'Start here'!$B$5,LEN(UPPER(SUBSTITUTE('Start here'!$B$6," ",""))))+1,1))</f>
        <v/>
      </c>
      <c r="C41" s="22">
        <f>IF(OR('Start here'!$B$5="",UPPER(SUBSTITUTE('Start here'!$B$6," ",""))=""),"",MID(UPPER(SUBSTITUTE('Start here'!$B$6," ","")),MOD(DATE(2026,7,7)-'Start here'!$B$5,LEN(UPPER(SUBSTITUTE('Start here'!$B$6," ",""))))+1,1))</f>
        <v/>
      </c>
      <c r="D41" s="22">
        <f>IF(OR('Start here'!$B$5="",UPPER(SUBSTITUTE('Start here'!$B$6," ",""))=""),"",MID(UPPER(SUBSTITUTE('Start here'!$B$6," ","")),MOD(DATE(2026,7,8)-'Start here'!$B$5,LEN(UPPER(SUBSTITUTE('Start here'!$B$6," ",""))))+1,1))</f>
        <v/>
      </c>
      <c r="E41" s="22">
        <f>IF(OR('Start here'!$B$5="",UPPER(SUBSTITUTE('Start here'!$B$6," ",""))=""),"",MID(UPPER(SUBSTITUTE('Start here'!$B$6," ","")),MOD(DATE(2026,7,9)-'Start here'!$B$5,LEN(UPPER(SUBSTITUTE('Start here'!$B$6," ",""))))+1,1))</f>
        <v/>
      </c>
      <c r="F41" s="22">
        <f>IF(OR('Start here'!$B$5="",UPPER(SUBSTITUTE('Start here'!$B$6," ",""))=""),"",MID(UPPER(SUBSTITUTE('Start here'!$B$6," ","")),MOD(DATE(2026,7,10)-'Start here'!$B$5,LEN(UPPER(SUBSTITUTE('Start here'!$B$6," ",""))))+1,1))</f>
        <v/>
      </c>
      <c r="G41" s="22">
        <f>IF(OR('Start here'!$B$5="",UPPER(SUBSTITUTE('Start here'!$B$6," ",""))=""),"",MID(UPPER(SUBSTITUTE('Start here'!$B$6," ","")),MOD(DATE(2026,7,11)-'Start here'!$B$5,LEN(UPPER(SUBSTITUTE('Start here'!$B$6," ",""))))+1,1))</f>
        <v/>
      </c>
      <c r="I41" s="22">
        <f>IF(OR('Start here'!$B$5="",UPPER(SUBSTITUTE('Start here'!$B$6," ",""))=""),"",MID(UPPER(SUBSTITUTE('Start here'!$B$6," ","")),MOD(DATE(2026,8,2)-'Start here'!$B$5,LEN(UPPER(SUBSTITUTE('Start here'!$B$6," ",""))))+1,1))</f>
        <v/>
      </c>
      <c r="J41" s="22">
        <f>IF(OR('Start here'!$B$5="",UPPER(SUBSTITUTE('Start here'!$B$6," ",""))=""),"",MID(UPPER(SUBSTITUTE('Start here'!$B$6," ","")),MOD(DATE(2026,8,3)-'Start here'!$B$5,LEN(UPPER(SUBSTITUTE('Start here'!$B$6," ",""))))+1,1))</f>
        <v/>
      </c>
      <c r="K41" s="22">
        <f>IF(OR('Start here'!$B$5="",UPPER(SUBSTITUTE('Start here'!$B$6," ",""))=""),"",MID(UPPER(SUBSTITUTE('Start here'!$B$6," ","")),MOD(DATE(2026,8,4)-'Start here'!$B$5,LEN(UPPER(SUBSTITUTE('Start here'!$B$6," ",""))))+1,1))</f>
        <v/>
      </c>
      <c r="L41" s="22">
        <f>IF(OR('Start here'!$B$5="",UPPER(SUBSTITUTE('Start here'!$B$6," ",""))=""),"",MID(UPPER(SUBSTITUTE('Start here'!$B$6," ","")),MOD(DATE(2026,8,5)-'Start here'!$B$5,LEN(UPPER(SUBSTITUTE('Start here'!$B$6," ",""))))+1,1))</f>
        <v/>
      </c>
      <c r="M41" s="22">
        <f>IF(OR('Start here'!$B$5="",UPPER(SUBSTITUTE('Start here'!$B$6," ",""))=""),"",MID(UPPER(SUBSTITUTE('Start here'!$B$6," ","")),MOD(DATE(2026,8,6)-'Start here'!$B$5,LEN(UPPER(SUBSTITUTE('Start here'!$B$6," ",""))))+1,1))</f>
        <v/>
      </c>
      <c r="N41" s="22">
        <f>IF(OR('Start here'!$B$5="",UPPER(SUBSTITUTE('Start here'!$B$6," ",""))=""),"",MID(UPPER(SUBSTITUTE('Start here'!$B$6," ","")),MOD(DATE(2026,8,7)-'Start here'!$B$5,LEN(UPPER(SUBSTITUTE('Start here'!$B$6," ",""))))+1,1))</f>
        <v/>
      </c>
      <c r="O41" s="22">
        <f>IF(OR('Start here'!$B$5="",UPPER(SUBSTITUTE('Start here'!$B$6," ",""))=""),"",MID(UPPER(SUBSTITUTE('Start here'!$B$6," ","")),MOD(DATE(2026,8,8)-'Start here'!$B$5,LEN(UPPER(SUBSTITUTE('Start here'!$B$6," ",""))))+1,1))</f>
        <v/>
      </c>
      <c r="Q41" s="22">
        <f>IF(OR('Start here'!$B$5="",UPPER(SUBSTITUTE('Start here'!$B$6," ",""))=""),"",MID(UPPER(SUBSTITUTE('Start here'!$B$6," ","")),MOD(DATE(2026,9,6)-'Start here'!$B$5,LEN(UPPER(SUBSTITUTE('Start here'!$B$6," ",""))))+1,1))</f>
        <v/>
      </c>
      <c r="R41" s="22">
        <f>IF(OR('Start here'!$B$5="",UPPER(SUBSTITUTE('Start here'!$B$6," ",""))=""),"",MID(UPPER(SUBSTITUTE('Start here'!$B$6," ","")),MOD(DATE(2026,9,7)-'Start here'!$B$5,LEN(UPPER(SUBSTITUTE('Start here'!$B$6," ",""))))+1,1))</f>
        <v/>
      </c>
      <c r="S41" s="22">
        <f>IF(OR('Start here'!$B$5="",UPPER(SUBSTITUTE('Start here'!$B$6," ",""))=""),"",MID(UPPER(SUBSTITUTE('Start here'!$B$6," ","")),MOD(DATE(2026,9,8)-'Start here'!$B$5,LEN(UPPER(SUBSTITUTE('Start here'!$B$6," ",""))))+1,1))</f>
        <v/>
      </c>
      <c r="T41" s="22">
        <f>IF(OR('Start here'!$B$5="",UPPER(SUBSTITUTE('Start here'!$B$6," ",""))=""),"",MID(UPPER(SUBSTITUTE('Start here'!$B$6," ","")),MOD(DATE(2026,9,9)-'Start here'!$B$5,LEN(UPPER(SUBSTITUTE('Start here'!$B$6," ",""))))+1,1))</f>
        <v/>
      </c>
      <c r="U41" s="22">
        <f>IF(OR('Start here'!$B$5="",UPPER(SUBSTITUTE('Start here'!$B$6," ",""))=""),"",MID(UPPER(SUBSTITUTE('Start here'!$B$6," ","")),MOD(DATE(2026,9,10)-'Start here'!$B$5,LEN(UPPER(SUBSTITUTE('Start here'!$B$6," ",""))))+1,1))</f>
        <v/>
      </c>
      <c r="V41" s="22">
        <f>IF(OR('Start here'!$B$5="",UPPER(SUBSTITUTE('Start here'!$B$6," ",""))=""),"",MID(UPPER(SUBSTITUTE('Start here'!$B$6," ","")),MOD(DATE(2026,9,11)-'Start here'!$B$5,LEN(UPPER(SUBSTITUTE('Start here'!$B$6," ",""))))+1,1))</f>
        <v/>
      </c>
      <c r="W41" s="22">
        <f>IF(OR('Start here'!$B$5="",UPPER(SUBSTITUTE('Start here'!$B$6," ",""))=""),"",MID(UPPER(SUBSTITUTE('Start here'!$B$6," ","")),MOD(DATE(2026,9,12)-'Start here'!$B$5,LEN(UPPER(SUBSTITUTE('Start here'!$B$6," ",""))))+1,1))</f>
        <v/>
      </c>
    </row>
    <row r="42">
      <c r="A42" s="20" t="n">
        <v>12</v>
      </c>
      <c r="B42" s="20" t="n">
        <v>13</v>
      </c>
      <c r="C42" s="20" t="n">
        <v>14</v>
      </c>
      <c r="D42" s="20" t="n">
        <v>15</v>
      </c>
      <c r="E42" s="20" t="n">
        <v>16</v>
      </c>
      <c r="F42" s="20" t="n">
        <v>17</v>
      </c>
      <c r="G42" s="20" t="n">
        <v>18</v>
      </c>
      <c r="I42" s="20" t="n">
        <v>9</v>
      </c>
      <c r="J42" s="20" t="n">
        <v>10</v>
      </c>
      <c r="K42" s="20" t="n">
        <v>11</v>
      </c>
      <c r="L42" s="20" t="n">
        <v>12</v>
      </c>
      <c r="M42" s="20" t="n">
        <v>13</v>
      </c>
      <c r="N42" s="20" t="n">
        <v>14</v>
      </c>
      <c r="O42" s="20" t="n">
        <v>15</v>
      </c>
      <c r="Q42" s="20" t="n">
        <v>13</v>
      </c>
      <c r="R42" s="20" t="n">
        <v>14</v>
      </c>
      <c r="S42" s="20" t="n">
        <v>15</v>
      </c>
      <c r="T42" s="20" t="n">
        <v>16</v>
      </c>
      <c r="U42" s="20" t="n">
        <v>17</v>
      </c>
      <c r="V42" s="20" t="n">
        <v>18</v>
      </c>
      <c r="W42" s="20" t="n">
        <v>19</v>
      </c>
    </row>
    <row r="43">
      <c r="A43" s="22">
        <f>IF(OR('Start here'!$B$5="",UPPER(SUBSTITUTE('Start here'!$B$6," ",""))=""),"",MID(UPPER(SUBSTITUTE('Start here'!$B$6," ","")),MOD(DATE(2026,7,12)-'Start here'!$B$5,LEN(UPPER(SUBSTITUTE('Start here'!$B$6," ",""))))+1,1))</f>
        <v/>
      </c>
      <c r="B43" s="22">
        <f>IF(OR('Start here'!$B$5="",UPPER(SUBSTITUTE('Start here'!$B$6," ",""))=""),"",MID(UPPER(SUBSTITUTE('Start here'!$B$6," ","")),MOD(DATE(2026,7,13)-'Start here'!$B$5,LEN(UPPER(SUBSTITUTE('Start here'!$B$6," ",""))))+1,1))</f>
        <v/>
      </c>
      <c r="C43" s="22">
        <f>IF(OR('Start here'!$B$5="",UPPER(SUBSTITUTE('Start here'!$B$6," ",""))=""),"",MID(UPPER(SUBSTITUTE('Start here'!$B$6," ","")),MOD(DATE(2026,7,14)-'Start here'!$B$5,LEN(UPPER(SUBSTITUTE('Start here'!$B$6," ",""))))+1,1))</f>
        <v/>
      </c>
      <c r="D43" s="22">
        <f>IF(OR('Start here'!$B$5="",UPPER(SUBSTITUTE('Start here'!$B$6," ",""))=""),"",MID(UPPER(SUBSTITUTE('Start here'!$B$6," ","")),MOD(DATE(2026,7,15)-'Start here'!$B$5,LEN(UPPER(SUBSTITUTE('Start here'!$B$6," ",""))))+1,1))</f>
        <v/>
      </c>
      <c r="E43" s="22">
        <f>IF(OR('Start here'!$B$5="",UPPER(SUBSTITUTE('Start here'!$B$6," ",""))=""),"",MID(UPPER(SUBSTITUTE('Start here'!$B$6," ","")),MOD(DATE(2026,7,16)-'Start here'!$B$5,LEN(UPPER(SUBSTITUTE('Start here'!$B$6," ",""))))+1,1))</f>
        <v/>
      </c>
      <c r="F43" s="22">
        <f>IF(OR('Start here'!$B$5="",UPPER(SUBSTITUTE('Start here'!$B$6," ",""))=""),"",MID(UPPER(SUBSTITUTE('Start here'!$B$6," ","")),MOD(DATE(2026,7,17)-'Start here'!$B$5,LEN(UPPER(SUBSTITUTE('Start here'!$B$6," ",""))))+1,1))</f>
        <v/>
      </c>
      <c r="G43" s="22">
        <f>IF(OR('Start here'!$B$5="",UPPER(SUBSTITUTE('Start here'!$B$6," ",""))=""),"",MID(UPPER(SUBSTITUTE('Start here'!$B$6," ","")),MOD(DATE(2026,7,18)-'Start here'!$B$5,LEN(UPPER(SUBSTITUTE('Start here'!$B$6," ",""))))+1,1))</f>
        <v/>
      </c>
      <c r="I43" s="22">
        <f>IF(OR('Start here'!$B$5="",UPPER(SUBSTITUTE('Start here'!$B$6," ",""))=""),"",MID(UPPER(SUBSTITUTE('Start here'!$B$6," ","")),MOD(DATE(2026,8,9)-'Start here'!$B$5,LEN(UPPER(SUBSTITUTE('Start here'!$B$6," ",""))))+1,1))</f>
        <v/>
      </c>
      <c r="J43" s="22">
        <f>IF(OR('Start here'!$B$5="",UPPER(SUBSTITUTE('Start here'!$B$6," ",""))=""),"",MID(UPPER(SUBSTITUTE('Start here'!$B$6," ","")),MOD(DATE(2026,8,10)-'Start here'!$B$5,LEN(UPPER(SUBSTITUTE('Start here'!$B$6," ",""))))+1,1))</f>
        <v/>
      </c>
      <c r="K43" s="22">
        <f>IF(OR('Start here'!$B$5="",UPPER(SUBSTITUTE('Start here'!$B$6," ",""))=""),"",MID(UPPER(SUBSTITUTE('Start here'!$B$6," ","")),MOD(DATE(2026,8,11)-'Start here'!$B$5,LEN(UPPER(SUBSTITUTE('Start here'!$B$6," ",""))))+1,1))</f>
        <v/>
      </c>
      <c r="L43" s="22">
        <f>IF(OR('Start here'!$B$5="",UPPER(SUBSTITUTE('Start here'!$B$6," ",""))=""),"",MID(UPPER(SUBSTITUTE('Start here'!$B$6," ","")),MOD(DATE(2026,8,12)-'Start here'!$B$5,LEN(UPPER(SUBSTITUTE('Start here'!$B$6," ",""))))+1,1))</f>
        <v/>
      </c>
      <c r="M43" s="22">
        <f>IF(OR('Start here'!$B$5="",UPPER(SUBSTITUTE('Start here'!$B$6," ",""))=""),"",MID(UPPER(SUBSTITUTE('Start here'!$B$6," ","")),MOD(DATE(2026,8,13)-'Start here'!$B$5,LEN(UPPER(SUBSTITUTE('Start here'!$B$6," ",""))))+1,1))</f>
        <v/>
      </c>
      <c r="N43" s="22">
        <f>IF(OR('Start here'!$B$5="",UPPER(SUBSTITUTE('Start here'!$B$6," ",""))=""),"",MID(UPPER(SUBSTITUTE('Start here'!$B$6," ","")),MOD(DATE(2026,8,14)-'Start here'!$B$5,LEN(UPPER(SUBSTITUTE('Start here'!$B$6," ",""))))+1,1))</f>
        <v/>
      </c>
      <c r="O43" s="22">
        <f>IF(OR('Start here'!$B$5="",UPPER(SUBSTITUTE('Start here'!$B$6," ",""))=""),"",MID(UPPER(SUBSTITUTE('Start here'!$B$6," ","")),MOD(DATE(2026,8,15)-'Start here'!$B$5,LEN(UPPER(SUBSTITUTE('Start here'!$B$6," ",""))))+1,1))</f>
        <v/>
      </c>
      <c r="Q43" s="22">
        <f>IF(OR('Start here'!$B$5="",UPPER(SUBSTITUTE('Start here'!$B$6," ",""))=""),"",MID(UPPER(SUBSTITUTE('Start here'!$B$6," ","")),MOD(DATE(2026,9,13)-'Start here'!$B$5,LEN(UPPER(SUBSTITUTE('Start here'!$B$6," ",""))))+1,1))</f>
        <v/>
      </c>
      <c r="R43" s="22">
        <f>IF(OR('Start here'!$B$5="",UPPER(SUBSTITUTE('Start here'!$B$6," ",""))=""),"",MID(UPPER(SUBSTITUTE('Start here'!$B$6," ","")),MOD(DATE(2026,9,14)-'Start here'!$B$5,LEN(UPPER(SUBSTITUTE('Start here'!$B$6," ",""))))+1,1))</f>
        <v/>
      </c>
      <c r="S43" s="22">
        <f>IF(OR('Start here'!$B$5="",UPPER(SUBSTITUTE('Start here'!$B$6," ",""))=""),"",MID(UPPER(SUBSTITUTE('Start here'!$B$6," ","")),MOD(DATE(2026,9,15)-'Start here'!$B$5,LEN(UPPER(SUBSTITUTE('Start here'!$B$6," ",""))))+1,1))</f>
        <v/>
      </c>
      <c r="T43" s="22">
        <f>IF(OR('Start here'!$B$5="",UPPER(SUBSTITUTE('Start here'!$B$6," ",""))=""),"",MID(UPPER(SUBSTITUTE('Start here'!$B$6," ","")),MOD(DATE(2026,9,16)-'Start here'!$B$5,LEN(UPPER(SUBSTITUTE('Start here'!$B$6," ",""))))+1,1))</f>
        <v/>
      </c>
      <c r="U43" s="22">
        <f>IF(OR('Start here'!$B$5="",UPPER(SUBSTITUTE('Start here'!$B$6," ",""))=""),"",MID(UPPER(SUBSTITUTE('Start here'!$B$6," ","")),MOD(DATE(2026,9,17)-'Start here'!$B$5,LEN(UPPER(SUBSTITUTE('Start here'!$B$6," ",""))))+1,1))</f>
        <v/>
      </c>
      <c r="V43" s="22">
        <f>IF(OR('Start here'!$B$5="",UPPER(SUBSTITUTE('Start here'!$B$6," ",""))=""),"",MID(UPPER(SUBSTITUTE('Start here'!$B$6," ","")),MOD(DATE(2026,9,18)-'Start here'!$B$5,LEN(UPPER(SUBSTITUTE('Start here'!$B$6," ",""))))+1,1))</f>
        <v/>
      </c>
      <c r="W43" s="22">
        <f>IF(OR('Start here'!$B$5="",UPPER(SUBSTITUTE('Start here'!$B$6," ",""))=""),"",MID(UPPER(SUBSTITUTE('Start here'!$B$6," ","")),MOD(DATE(2026,9,19)-'Start here'!$B$5,LEN(UPPER(SUBSTITUTE('Start here'!$B$6," ",""))))+1,1))</f>
        <v/>
      </c>
    </row>
    <row r="44">
      <c r="A44" s="20" t="n">
        <v>19</v>
      </c>
      <c r="B44" s="20" t="n">
        <v>20</v>
      </c>
      <c r="C44" s="20" t="n">
        <v>21</v>
      </c>
      <c r="D44" s="20" t="n">
        <v>22</v>
      </c>
      <c r="E44" s="20" t="n">
        <v>23</v>
      </c>
      <c r="F44" s="20" t="n">
        <v>24</v>
      </c>
      <c r="G44" s="20" t="n">
        <v>25</v>
      </c>
      <c r="I44" s="20" t="n">
        <v>16</v>
      </c>
      <c r="J44" s="20" t="n">
        <v>17</v>
      </c>
      <c r="K44" s="20" t="n">
        <v>18</v>
      </c>
      <c r="L44" s="20" t="n">
        <v>19</v>
      </c>
      <c r="M44" s="20" t="n">
        <v>20</v>
      </c>
      <c r="N44" s="20" t="n">
        <v>21</v>
      </c>
      <c r="O44" s="20" t="n">
        <v>22</v>
      </c>
      <c r="Q44" s="20" t="n">
        <v>20</v>
      </c>
      <c r="R44" s="20" t="n">
        <v>21</v>
      </c>
      <c r="S44" s="20" t="n">
        <v>22</v>
      </c>
      <c r="T44" s="20" t="n">
        <v>23</v>
      </c>
      <c r="U44" s="20" t="n">
        <v>24</v>
      </c>
      <c r="V44" s="20" t="n">
        <v>25</v>
      </c>
      <c r="W44" s="20" t="n">
        <v>26</v>
      </c>
    </row>
    <row r="45">
      <c r="A45" s="22">
        <f>IF(OR('Start here'!$B$5="",UPPER(SUBSTITUTE('Start here'!$B$6," ",""))=""),"",MID(UPPER(SUBSTITUTE('Start here'!$B$6," ","")),MOD(DATE(2026,7,19)-'Start here'!$B$5,LEN(UPPER(SUBSTITUTE('Start here'!$B$6," ",""))))+1,1))</f>
        <v/>
      </c>
      <c r="B45" s="22">
        <f>IF(OR('Start here'!$B$5="",UPPER(SUBSTITUTE('Start here'!$B$6," ",""))=""),"",MID(UPPER(SUBSTITUTE('Start here'!$B$6," ","")),MOD(DATE(2026,7,20)-'Start here'!$B$5,LEN(UPPER(SUBSTITUTE('Start here'!$B$6," ",""))))+1,1))</f>
        <v/>
      </c>
      <c r="C45" s="22">
        <f>IF(OR('Start here'!$B$5="",UPPER(SUBSTITUTE('Start here'!$B$6," ",""))=""),"",MID(UPPER(SUBSTITUTE('Start here'!$B$6," ","")),MOD(DATE(2026,7,21)-'Start here'!$B$5,LEN(UPPER(SUBSTITUTE('Start here'!$B$6," ",""))))+1,1))</f>
        <v/>
      </c>
      <c r="D45" s="22">
        <f>IF(OR('Start here'!$B$5="",UPPER(SUBSTITUTE('Start here'!$B$6," ",""))=""),"",MID(UPPER(SUBSTITUTE('Start here'!$B$6," ","")),MOD(DATE(2026,7,22)-'Start here'!$B$5,LEN(UPPER(SUBSTITUTE('Start here'!$B$6," ",""))))+1,1))</f>
        <v/>
      </c>
      <c r="E45" s="22">
        <f>IF(OR('Start here'!$B$5="",UPPER(SUBSTITUTE('Start here'!$B$6," ",""))=""),"",MID(UPPER(SUBSTITUTE('Start here'!$B$6," ","")),MOD(DATE(2026,7,23)-'Start here'!$B$5,LEN(UPPER(SUBSTITUTE('Start here'!$B$6," ",""))))+1,1))</f>
        <v/>
      </c>
      <c r="F45" s="22">
        <f>IF(OR('Start here'!$B$5="",UPPER(SUBSTITUTE('Start here'!$B$6," ",""))=""),"",MID(UPPER(SUBSTITUTE('Start here'!$B$6," ","")),MOD(DATE(2026,7,24)-'Start here'!$B$5,LEN(UPPER(SUBSTITUTE('Start here'!$B$6," ",""))))+1,1))</f>
        <v/>
      </c>
      <c r="G45" s="22">
        <f>IF(OR('Start here'!$B$5="",UPPER(SUBSTITUTE('Start here'!$B$6," ",""))=""),"",MID(UPPER(SUBSTITUTE('Start here'!$B$6," ","")),MOD(DATE(2026,7,25)-'Start here'!$B$5,LEN(UPPER(SUBSTITUTE('Start here'!$B$6," ",""))))+1,1))</f>
        <v/>
      </c>
      <c r="I45" s="22">
        <f>IF(OR('Start here'!$B$5="",UPPER(SUBSTITUTE('Start here'!$B$6," ",""))=""),"",MID(UPPER(SUBSTITUTE('Start here'!$B$6," ","")),MOD(DATE(2026,8,16)-'Start here'!$B$5,LEN(UPPER(SUBSTITUTE('Start here'!$B$6," ",""))))+1,1))</f>
        <v/>
      </c>
      <c r="J45" s="22">
        <f>IF(OR('Start here'!$B$5="",UPPER(SUBSTITUTE('Start here'!$B$6," ",""))=""),"",MID(UPPER(SUBSTITUTE('Start here'!$B$6," ","")),MOD(DATE(2026,8,17)-'Start here'!$B$5,LEN(UPPER(SUBSTITUTE('Start here'!$B$6," ",""))))+1,1))</f>
        <v/>
      </c>
      <c r="K45" s="22">
        <f>IF(OR('Start here'!$B$5="",UPPER(SUBSTITUTE('Start here'!$B$6," ",""))=""),"",MID(UPPER(SUBSTITUTE('Start here'!$B$6," ","")),MOD(DATE(2026,8,18)-'Start here'!$B$5,LEN(UPPER(SUBSTITUTE('Start here'!$B$6," ",""))))+1,1))</f>
        <v/>
      </c>
      <c r="L45" s="22">
        <f>IF(OR('Start here'!$B$5="",UPPER(SUBSTITUTE('Start here'!$B$6," ",""))=""),"",MID(UPPER(SUBSTITUTE('Start here'!$B$6," ","")),MOD(DATE(2026,8,19)-'Start here'!$B$5,LEN(UPPER(SUBSTITUTE('Start here'!$B$6," ",""))))+1,1))</f>
        <v/>
      </c>
      <c r="M45" s="22">
        <f>IF(OR('Start here'!$B$5="",UPPER(SUBSTITUTE('Start here'!$B$6," ",""))=""),"",MID(UPPER(SUBSTITUTE('Start here'!$B$6," ","")),MOD(DATE(2026,8,20)-'Start here'!$B$5,LEN(UPPER(SUBSTITUTE('Start here'!$B$6," ",""))))+1,1))</f>
        <v/>
      </c>
      <c r="N45" s="22">
        <f>IF(OR('Start here'!$B$5="",UPPER(SUBSTITUTE('Start here'!$B$6," ",""))=""),"",MID(UPPER(SUBSTITUTE('Start here'!$B$6," ","")),MOD(DATE(2026,8,21)-'Start here'!$B$5,LEN(UPPER(SUBSTITUTE('Start here'!$B$6," ",""))))+1,1))</f>
        <v/>
      </c>
      <c r="O45" s="22">
        <f>IF(OR('Start here'!$B$5="",UPPER(SUBSTITUTE('Start here'!$B$6," ",""))=""),"",MID(UPPER(SUBSTITUTE('Start here'!$B$6," ","")),MOD(DATE(2026,8,22)-'Start here'!$B$5,LEN(UPPER(SUBSTITUTE('Start here'!$B$6," ",""))))+1,1))</f>
        <v/>
      </c>
      <c r="Q45" s="22">
        <f>IF(OR('Start here'!$B$5="",UPPER(SUBSTITUTE('Start here'!$B$6," ",""))=""),"",MID(UPPER(SUBSTITUTE('Start here'!$B$6," ","")),MOD(DATE(2026,9,20)-'Start here'!$B$5,LEN(UPPER(SUBSTITUTE('Start here'!$B$6," ",""))))+1,1))</f>
        <v/>
      </c>
      <c r="R45" s="22">
        <f>IF(OR('Start here'!$B$5="",UPPER(SUBSTITUTE('Start here'!$B$6," ",""))=""),"",MID(UPPER(SUBSTITUTE('Start here'!$B$6," ","")),MOD(DATE(2026,9,21)-'Start here'!$B$5,LEN(UPPER(SUBSTITUTE('Start here'!$B$6," ",""))))+1,1))</f>
        <v/>
      </c>
      <c r="S45" s="22">
        <f>IF(OR('Start here'!$B$5="",UPPER(SUBSTITUTE('Start here'!$B$6," ",""))=""),"",MID(UPPER(SUBSTITUTE('Start here'!$B$6," ","")),MOD(DATE(2026,9,22)-'Start here'!$B$5,LEN(UPPER(SUBSTITUTE('Start here'!$B$6," ",""))))+1,1))</f>
        <v/>
      </c>
      <c r="T45" s="22">
        <f>IF(OR('Start here'!$B$5="",UPPER(SUBSTITUTE('Start here'!$B$6," ",""))=""),"",MID(UPPER(SUBSTITUTE('Start here'!$B$6," ","")),MOD(DATE(2026,9,23)-'Start here'!$B$5,LEN(UPPER(SUBSTITUTE('Start here'!$B$6," ",""))))+1,1))</f>
        <v/>
      </c>
      <c r="U45" s="22">
        <f>IF(OR('Start here'!$B$5="",UPPER(SUBSTITUTE('Start here'!$B$6," ",""))=""),"",MID(UPPER(SUBSTITUTE('Start here'!$B$6," ","")),MOD(DATE(2026,9,24)-'Start here'!$B$5,LEN(UPPER(SUBSTITUTE('Start here'!$B$6," ",""))))+1,1))</f>
        <v/>
      </c>
      <c r="V45" s="22">
        <f>IF(OR('Start here'!$B$5="",UPPER(SUBSTITUTE('Start here'!$B$6," ",""))=""),"",MID(UPPER(SUBSTITUTE('Start here'!$B$6," ","")),MOD(DATE(2026,9,25)-'Start here'!$B$5,LEN(UPPER(SUBSTITUTE('Start here'!$B$6," ",""))))+1,1))</f>
        <v/>
      </c>
      <c r="W45" s="22">
        <f>IF(OR('Start here'!$B$5="",UPPER(SUBSTITUTE('Start here'!$B$6," ",""))=""),"",MID(UPPER(SUBSTITUTE('Start here'!$B$6," ","")),MOD(DATE(2026,9,26)-'Start here'!$B$5,LEN(UPPER(SUBSTITUTE('Start here'!$B$6," ",""))))+1,1))</f>
        <v/>
      </c>
    </row>
    <row r="46">
      <c r="A46" s="20" t="n">
        <v>26</v>
      </c>
      <c r="B46" s="20" t="n">
        <v>27</v>
      </c>
      <c r="C46" s="20" t="n">
        <v>28</v>
      </c>
      <c r="D46" s="20" t="n">
        <v>29</v>
      </c>
      <c r="E46" s="20" t="n">
        <v>30</v>
      </c>
      <c r="F46" s="20" t="n">
        <v>31</v>
      </c>
      <c r="G46" s="19" t="n"/>
      <c r="I46" s="20" t="n">
        <v>23</v>
      </c>
      <c r="J46" s="20" t="n">
        <v>24</v>
      </c>
      <c r="K46" s="20" t="n">
        <v>25</v>
      </c>
      <c r="L46" s="20" t="n">
        <v>26</v>
      </c>
      <c r="M46" s="20" t="n">
        <v>27</v>
      </c>
      <c r="N46" s="20" t="n">
        <v>28</v>
      </c>
      <c r="O46" s="20" t="n">
        <v>29</v>
      </c>
      <c r="Q46" s="20" t="n">
        <v>27</v>
      </c>
      <c r="R46" s="20" t="n">
        <v>28</v>
      </c>
      <c r="S46" s="20" t="n">
        <v>29</v>
      </c>
      <c r="T46" s="20" t="n">
        <v>30</v>
      </c>
      <c r="U46" s="19" t="n"/>
      <c r="V46" s="19" t="n"/>
      <c r="W46" s="19" t="n"/>
    </row>
    <row r="47">
      <c r="A47" s="22">
        <f>IF(OR('Start here'!$B$5="",UPPER(SUBSTITUTE('Start here'!$B$6," ",""))=""),"",MID(UPPER(SUBSTITUTE('Start here'!$B$6," ","")),MOD(DATE(2026,7,26)-'Start here'!$B$5,LEN(UPPER(SUBSTITUTE('Start here'!$B$6," ",""))))+1,1))</f>
        <v/>
      </c>
      <c r="B47" s="22">
        <f>IF(OR('Start here'!$B$5="",UPPER(SUBSTITUTE('Start here'!$B$6," ",""))=""),"",MID(UPPER(SUBSTITUTE('Start here'!$B$6," ","")),MOD(DATE(2026,7,27)-'Start here'!$B$5,LEN(UPPER(SUBSTITUTE('Start here'!$B$6," ",""))))+1,1))</f>
        <v/>
      </c>
      <c r="C47" s="22">
        <f>IF(OR('Start here'!$B$5="",UPPER(SUBSTITUTE('Start here'!$B$6," ",""))=""),"",MID(UPPER(SUBSTITUTE('Start here'!$B$6," ","")),MOD(DATE(2026,7,28)-'Start here'!$B$5,LEN(UPPER(SUBSTITUTE('Start here'!$B$6," ",""))))+1,1))</f>
        <v/>
      </c>
      <c r="D47" s="22">
        <f>IF(OR('Start here'!$B$5="",UPPER(SUBSTITUTE('Start here'!$B$6," ",""))=""),"",MID(UPPER(SUBSTITUTE('Start here'!$B$6," ","")),MOD(DATE(2026,7,29)-'Start here'!$B$5,LEN(UPPER(SUBSTITUTE('Start here'!$B$6," ",""))))+1,1))</f>
        <v/>
      </c>
      <c r="E47" s="22">
        <f>IF(OR('Start here'!$B$5="",UPPER(SUBSTITUTE('Start here'!$B$6," ",""))=""),"",MID(UPPER(SUBSTITUTE('Start here'!$B$6," ","")),MOD(DATE(2026,7,30)-'Start here'!$B$5,LEN(UPPER(SUBSTITUTE('Start here'!$B$6," ",""))))+1,1))</f>
        <v/>
      </c>
      <c r="F47" s="22">
        <f>IF(OR('Start here'!$B$5="",UPPER(SUBSTITUTE('Start here'!$B$6," ",""))=""),"",MID(UPPER(SUBSTITUTE('Start here'!$B$6," ","")),MOD(DATE(2026,7,31)-'Start here'!$B$5,LEN(UPPER(SUBSTITUTE('Start here'!$B$6," ",""))))+1,1))</f>
        <v/>
      </c>
      <c r="G47" s="21" t="n"/>
      <c r="I47" s="22">
        <f>IF(OR('Start here'!$B$5="",UPPER(SUBSTITUTE('Start here'!$B$6," ",""))=""),"",MID(UPPER(SUBSTITUTE('Start here'!$B$6," ","")),MOD(DATE(2026,8,23)-'Start here'!$B$5,LEN(UPPER(SUBSTITUTE('Start here'!$B$6," ",""))))+1,1))</f>
        <v/>
      </c>
      <c r="J47" s="22">
        <f>IF(OR('Start here'!$B$5="",UPPER(SUBSTITUTE('Start here'!$B$6," ",""))=""),"",MID(UPPER(SUBSTITUTE('Start here'!$B$6," ","")),MOD(DATE(2026,8,24)-'Start here'!$B$5,LEN(UPPER(SUBSTITUTE('Start here'!$B$6," ",""))))+1,1))</f>
        <v/>
      </c>
      <c r="K47" s="22">
        <f>IF(OR('Start here'!$B$5="",UPPER(SUBSTITUTE('Start here'!$B$6," ",""))=""),"",MID(UPPER(SUBSTITUTE('Start here'!$B$6," ","")),MOD(DATE(2026,8,25)-'Start here'!$B$5,LEN(UPPER(SUBSTITUTE('Start here'!$B$6," ",""))))+1,1))</f>
        <v/>
      </c>
      <c r="L47" s="22">
        <f>IF(OR('Start here'!$B$5="",UPPER(SUBSTITUTE('Start here'!$B$6," ",""))=""),"",MID(UPPER(SUBSTITUTE('Start here'!$B$6," ","")),MOD(DATE(2026,8,26)-'Start here'!$B$5,LEN(UPPER(SUBSTITUTE('Start here'!$B$6," ",""))))+1,1))</f>
        <v/>
      </c>
      <c r="M47" s="22">
        <f>IF(OR('Start here'!$B$5="",UPPER(SUBSTITUTE('Start here'!$B$6," ",""))=""),"",MID(UPPER(SUBSTITUTE('Start here'!$B$6," ","")),MOD(DATE(2026,8,27)-'Start here'!$B$5,LEN(UPPER(SUBSTITUTE('Start here'!$B$6," ",""))))+1,1))</f>
        <v/>
      </c>
      <c r="N47" s="22">
        <f>IF(OR('Start here'!$B$5="",UPPER(SUBSTITUTE('Start here'!$B$6," ",""))=""),"",MID(UPPER(SUBSTITUTE('Start here'!$B$6," ","")),MOD(DATE(2026,8,28)-'Start here'!$B$5,LEN(UPPER(SUBSTITUTE('Start here'!$B$6," ",""))))+1,1))</f>
        <v/>
      </c>
      <c r="O47" s="22">
        <f>IF(OR('Start here'!$B$5="",UPPER(SUBSTITUTE('Start here'!$B$6," ",""))=""),"",MID(UPPER(SUBSTITUTE('Start here'!$B$6," ","")),MOD(DATE(2026,8,29)-'Start here'!$B$5,LEN(UPPER(SUBSTITUTE('Start here'!$B$6," ",""))))+1,1))</f>
        <v/>
      </c>
      <c r="Q47" s="22">
        <f>IF(OR('Start here'!$B$5="",UPPER(SUBSTITUTE('Start here'!$B$6," ",""))=""),"",MID(UPPER(SUBSTITUTE('Start here'!$B$6," ","")),MOD(DATE(2026,9,27)-'Start here'!$B$5,LEN(UPPER(SUBSTITUTE('Start here'!$B$6," ",""))))+1,1))</f>
        <v/>
      </c>
      <c r="R47" s="22">
        <f>IF(OR('Start here'!$B$5="",UPPER(SUBSTITUTE('Start here'!$B$6," ",""))=""),"",MID(UPPER(SUBSTITUTE('Start here'!$B$6," ","")),MOD(DATE(2026,9,28)-'Start here'!$B$5,LEN(UPPER(SUBSTITUTE('Start here'!$B$6," ",""))))+1,1))</f>
        <v/>
      </c>
      <c r="S47" s="22">
        <f>IF(OR('Start here'!$B$5="",UPPER(SUBSTITUTE('Start here'!$B$6," ",""))=""),"",MID(UPPER(SUBSTITUTE('Start here'!$B$6," ","")),MOD(DATE(2026,9,29)-'Start here'!$B$5,LEN(UPPER(SUBSTITUTE('Start here'!$B$6," ",""))))+1,1))</f>
        <v/>
      </c>
      <c r="T47" s="22">
        <f>IF(OR('Start here'!$B$5="",UPPER(SUBSTITUTE('Start here'!$B$6," ",""))=""),"",MID(UPPER(SUBSTITUTE('Start here'!$B$6," ","")),MOD(DATE(2026,9,30)-'Start here'!$B$5,LEN(UPPER(SUBSTITUTE('Start here'!$B$6," ",""))))+1,1))</f>
        <v/>
      </c>
      <c r="U47" s="21" t="n"/>
      <c r="V47" s="21" t="n"/>
      <c r="W47" s="21" t="n"/>
    </row>
    <row r="48">
      <c r="A48" s="19" t="n"/>
      <c r="B48" s="19" t="n"/>
      <c r="C48" s="19" t="n"/>
      <c r="D48" s="19" t="n"/>
      <c r="E48" s="19" t="n"/>
      <c r="F48" s="19" t="n"/>
      <c r="G48" s="19" t="n"/>
      <c r="I48" s="20" t="n">
        <v>30</v>
      </c>
      <c r="J48" s="20" t="n">
        <v>31</v>
      </c>
      <c r="K48" s="19" t="n"/>
      <c r="L48" s="19" t="n"/>
      <c r="M48" s="19" t="n"/>
      <c r="N48" s="19" t="n"/>
      <c r="O48" s="19" t="n"/>
      <c r="Q48" s="19" t="n"/>
      <c r="R48" s="19" t="n"/>
      <c r="S48" s="19" t="n"/>
      <c r="T48" s="19" t="n"/>
      <c r="U48" s="19" t="n"/>
      <c r="V48" s="19" t="n"/>
      <c r="W48" s="19" t="n"/>
    </row>
    <row r="49">
      <c r="A49" s="21" t="n"/>
      <c r="B49" s="21" t="n"/>
      <c r="C49" s="21" t="n"/>
      <c r="D49" s="21" t="n"/>
      <c r="E49" s="21" t="n"/>
      <c r="F49" s="21" t="n"/>
      <c r="G49" s="21" t="n"/>
      <c r="I49" s="22">
        <f>IF(OR('Start here'!$B$5="",UPPER(SUBSTITUTE('Start here'!$B$6," ",""))=""),"",MID(UPPER(SUBSTITUTE('Start here'!$B$6," ","")),MOD(DATE(2026,8,30)-'Start here'!$B$5,LEN(UPPER(SUBSTITUTE('Start here'!$B$6," ",""))))+1,1))</f>
        <v/>
      </c>
      <c r="J49" s="22">
        <f>IF(OR('Start here'!$B$5="",UPPER(SUBSTITUTE('Start here'!$B$6," ",""))=""),"",MID(UPPER(SUBSTITUTE('Start here'!$B$6," ","")),MOD(DATE(2026,8,31)-'Start here'!$B$5,LEN(UPPER(SUBSTITUTE('Start here'!$B$6," ",""))))+1,1))</f>
        <v/>
      </c>
      <c r="K49" s="21" t="n"/>
      <c r="L49" s="21" t="n"/>
      <c r="M49" s="21" t="n"/>
      <c r="N49" s="21" t="n"/>
      <c r="O49" s="21" t="n"/>
      <c r="Q49" s="21" t="n"/>
      <c r="R49" s="21" t="n"/>
      <c r="S49" s="21" t="n"/>
      <c r="T49" s="21" t="n"/>
      <c r="U49" s="21" t="n"/>
      <c r="V49" s="21" t="n"/>
      <c r="W49" s="21" t="n"/>
    </row>
    <row r="50">
      <c r="A50" s="23" t="inlineStr">
        <is>
          <t>Nights A</t>
        </is>
      </c>
      <c r="C50" s="24">
        <f>COUNTIF(A39:G49,"A")</f>
        <v/>
      </c>
      <c r="E50" s="23" t="inlineStr">
        <is>
          <t>B</t>
        </is>
      </c>
      <c r="F50" s="24">
        <f>COUNTIF(A39:G49,"B")</f>
        <v/>
      </c>
      <c r="I50" s="23" t="inlineStr">
        <is>
          <t>Nights A</t>
        </is>
      </c>
      <c r="K50" s="24">
        <f>COUNTIF(I39:O49,"A")</f>
        <v/>
      </c>
      <c r="M50" s="23" t="inlineStr">
        <is>
          <t>B</t>
        </is>
      </c>
      <c r="N50" s="24">
        <f>COUNTIF(I39:O49,"B")</f>
        <v/>
      </c>
      <c r="Q50" s="23" t="inlineStr">
        <is>
          <t>Nights A</t>
        </is>
      </c>
      <c r="S50" s="24">
        <f>COUNTIF(Q39:W49,"A")</f>
        <v/>
      </c>
      <c r="U50" s="23" t="inlineStr">
        <is>
          <t>B</t>
        </is>
      </c>
      <c r="V50" s="24">
        <f>COUNTIF(Q39:W49,"B")</f>
        <v/>
      </c>
    </row>
    <row r="52">
      <c r="A52" s="16" t="inlineStr">
        <is>
          <t>October 2026</t>
        </is>
      </c>
      <c r="B52" s="17" t="n"/>
      <c r="C52" s="17" t="n"/>
      <c r="D52" s="17" t="n"/>
      <c r="E52" s="17" t="n"/>
      <c r="F52" s="17" t="n"/>
      <c r="G52" s="17" t="n"/>
      <c r="I52" s="16" t="inlineStr">
        <is>
          <t>November 2026</t>
        </is>
      </c>
      <c r="J52" s="17" t="n"/>
      <c r="K52" s="17" t="n"/>
      <c r="L52" s="17" t="n"/>
      <c r="M52" s="17" t="n"/>
      <c r="N52" s="17" t="n"/>
      <c r="O52" s="17" t="n"/>
      <c r="Q52" s="16" t="inlineStr">
        <is>
          <t>December 2026</t>
        </is>
      </c>
      <c r="R52" s="17" t="n"/>
      <c r="S52" s="17" t="n"/>
      <c r="T52" s="17" t="n"/>
      <c r="U52" s="17" t="n"/>
      <c r="V52" s="17" t="n"/>
      <c r="W52" s="17" t="n"/>
    </row>
    <row r="53">
      <c r="A53" s="18" t="inlineStr">
        <is>
          <t>S</t>
        </is>
      </c>
      <c r="B53" s="18" t="inlineStr">
        <is>
          <t>M</t>
        </is>
      </c>
      <c r="C53" s="18" t="inlineStr">
        <is>
          <t>T</t>
        </is>
      </c>
      <c r="D53" s="18" t="inlineStr">
        <is>
          <t>W</t>
        </is>
      </c>
      <c r="E53" s="18" t="inlineStr">
        <is>
          <t>T</t>
        </is>
      </c>
      <c r="F53" s="18" t="inlineStr">
        <is>
          <t>F</t>
        </is>
      </c>
      <c r="G53" s="18" t="inlineStr">
        <is>
          <t>S</t>
        </is>
      </c>
      <c r="I53" s="18" t="inlineStr">
        <is>
          <t>S</t>
        </is>
      </c>
      <c r="J53" s="18" t="inlineStr">
        <is>
          <t>M</t>
        </is>
      </c>
      <c r="K53" s="18" t="inlineStr">
        <is>
          <t>T</t>
        </is>
      </c>
      <c r="L53" s="18" t="inlineStr">
        <is>
          <t>W</t>
        </is>
      </c>
      <c r="M53" s="18" t="inlineStr">
        <is>
          <t>T</t>
        </is>
      </c>
      <c r="N53" s="18" t="inlineStr">
        <is>
          <t>F</t>
        </is>
      </c>
      <c r="O53" s="18" t="inlineStr">
        <is>
          <t>S</t>
        </is>
      </c>
      <c r="Q53" s="18" t="inlineStr">
        <is>
          <t>S</t>
        </is>
      </c>
      <c r="R53" s="18" t="inlineStr">
        <is>
          <t>M</t>
        </is>
      </c>
      <c r="S53" s="18" t="inlineStr">
        <is>
          <t>T</t>
        </is>
      </c>
      <c r="T53" s="18" t="inlineStr">
        <is>
          <t>W</t>
        </is>
      </c>
      <c r="U53" s="18" t="inlineStr">
        <is>
          <t>T</t>
        </is>
      </c>
      <c r="V53" s="18" t="inlineStr">
        <is>
          <t>F</t>
        </is>
      </c>
      <c r="W53" s="18" t="inlineStr">
        <is>
          <t>S</t>
        </is>
      </c>
    </row>
    <row r="54">
      <c r="A54" s="19" t="n"/>
      <c r="B54" s="19" t="n"/>
      <c r="C54" s="19" t="n"/>
      <c r="D54" s="19" t="n"/>
      <c r="E54" s="20" t="n">
        <v>1</v>
      </c>
      <c r="F54" s="20" t="n">
        <v>2</v>
      </c>
      <c r="G54" s="20" t="n">
        <v>3</v>
      </c>
      <c r="I54" s="20" t="n">
        <v>1</v>
      </c>
      <c r="J54" s="20" t="n">
        <v>2</v>
      </c>
      <c r="K54" s="20" t="n">
        <v>3</v>
      </c>
      <c r="L54" s="20" t="n">
        <v>4</v>
      </c>
      <c r="M54" s="20" t="n">
        <v>5</v>
      </c>
      <c r="N54" s="20" t="n">
        <v>6</v>
      </c>
      <c r="O54" s="20" t="n">
        <v>7</v>
      </c>
      <c r="Q54" s="19" t="n"/>
      <c r="R54" s="19" t="n"/>
      <c r="S54" s="20" t="n">
        <v>1</v>
      </c>
      <c r="T54" s="20" t="n">
        <v>2</v>
      </c>
      <c r="U54" s="20" t="n">
        <v>3</v>
      </c>
      <c r="V54" s="20" t="n">
        <v>4</v>
      </c>
      <c r="W54" s="20" t="n">
        <v>5</v>
      </c>
    </row>
    <row r="55">
      <c r="A55" s="21" t="n"/>
      <c r="B55" s="21" t="n"/>
      <c r="C55" s="21" t="n"/>
      <c r="D55" s="21" t="n"/>
      <c r="E55" s="22">
        <f>IF(OR('Start here'!$B$5="",UPPER(SUBSTITUTE('Start here'!$B$6," ",""))=""),"",MID(UPPER(SUBSTITUTE('Start here'!$B$6," ","")),MOD(DATE(2026,10,1)-'Start here'!$B$5,LEN(UPPER(SUBSTITUTE('Start here'!$B$6," ",""))))+1,1))</f>
        <v/>
      </c>
      <c r="F55" s="22">
        <f>IF(OR('Start here'!$B$5="",UPPER(SUBSTITUTE('Start here'!$B$6," ",""))=""),"",MID(UPPER(SUBSTITUTE('Start here'!$B$6," ","")),MOD(DATE(2026,10,2)-'Start here'!$B$5,LEN(UPPER(SUBSTITUTE('Start here'!$B$6," ",""))))+1,1))</f>
        <v/>
      </c>
      <c r="G55" s="22">
        <f>IF(OR('Start here'!$B$5="",UPPER(SUBSTITUTE('Start here'!$B$6," ",""))=""),"",MID(UPPER(SUBSTITUTE('Start here'!$B$6," ","")),MOD(DATE(2026,10,3)-'Start here'!$B$5,LEN(UPPER(SUBSTITUTE('Start here'!$B$6," ",""))))+1,1))</f>
        <v/>
      </c>
      <c r="I55" s="22">
        <f>IF(OR('Start here'!$B$5="",UPPER(SUBSTITUTE('Start here'!$B$6," ",""))=""),"",MID(UPPER(SUBSTITUTE('Start here'!$B$6," ","")),MOD(DATE(2026,11,1)-'Start here'!$B$5,LEN(UPPER(SUBSTITUTE('Start here'!$B$6," ",""))))+1,1))</f>
        <v/>
      </c>
      <c r="J55" s="22">
        <f>IF(OR('Start here'!$B$5="",UPPER(SUBSTITUTE('Start here'!$B$6," ",""))=""),"",MID(UPPER(SUBSTITUTE('Start here'!$B$6," ","")),MOD(DATE(2026,11,2)-'Start here'!$B$5,LEN(UPPER(SUBSTITUTE('Start here'!$B$6," ",""))))+1,1))</f>
        <v/>
      </c>
      <c r="K55" s="22">
        <f>IF(OR('Start here'!$B$5="",UPPER(SUBSTITUTE('Start here'!$B$6," ",""))=""),"",MID(UPPER(SUBSTITUTE('Start here'!$B$6," ","")),MOD(DATE(2026,11,3)-'Start here'!$B$5,LEN(UPPER(SUBSTITUTE('Start here'!$B$6," ",""))))+1,1))</f>
        <v/>
      </c>
      <c r="L55" s="22">
        <f>IF(OR('Start here'!$B$5="",UPPER(SUBSTITUTE('Start here'!$B$6," ",""))=""),"",MID(UPPER(SUBSTITUTE('Start here'!$B$6," ","")),MOD(DATE(2026,11,4)-'Start here'!$B$5,LEN(UPPER(SUBSTITUTE('Start here'!$B$6," ",""))))+1,1))</f>
        <v/>
      </c>
      <c r="M55" s="22">
        <f>IF(OR('Start here'!$B$5="",UPPER(SUBSTITUTE('Start here'!$B$6," ",""))=""),"",MID(UPPER(SUBSTITUTE('Start here'!$B$6," ","")),MOD(DATE(2026,11,5)-'Start here'!$B$5,LEN(UPPER(SUBSTITUTE('Start here'!$B$6," ",""))))+1,1))</f>
        <v/>
      </c>
      <c r="N55" s="22">
        <f>IF(OR('Start here'!$B$5="",UPPER(SUBSTITUTE('Start here'!$B$6," ",""))=""),"",MID(UPPER(SUBSTITUTE('Start here'!$B$6," ","")),MOD(DATE(2026,11,6)-'Start here'!$B$5,LEN(UPPER(SUBSTITUTE('Start here'!$B$6," ",""))))+1,1))</f>
        <v/>
      </c>
      <c r="O55" s="22">
        <f>IF(OR('Start here'!$B$5="",UPPER(SUBSTITUTE('Start here'!$B$6," ",""))=""),"",MID(UPPER(SUBSTITUTE('Start here'!$B$6," ","")),MOD(DATE(2026,11,7)-'Start here'!$B$5,LEN(UPPER(SUBSTITUTE('Start here'!$B$6," ",""))))+1,1))</f>
        <v/>
      </c>
      <c r="Q55" s="21" t="n"/>
      <c r="R55" s="21" t="n"/>
      <c r="S55" s="22">
        <f>IF(OR('Start here'!$B$5="",UPPER(SUBSTITUTE('Start here'!$B$6," ",""))=""),"",MID(UPPER(SUBSTITUTE('Start here'!$B$6," ","")),MOD(DATE(2026,12,1)-'Start here'!$B$5,LEN(UPPER(SUBSTITUTE('Start here'!$B$6," ",""))))+1,1))</f>
        <v/>
      </c>
      <c r="T55" s="22">
        <f>IF(OR('Start here'!$B$5="",UPPER(SUBSTITUTE('Start here'!$B$6," ",""))=""),"",MID(UPPER(SUBSTITUTE('Start here'!$B$6," ","")),MOD(DATE(2026,12,2)-'Start here'!$B$5,LEN(UPPER(SUBSTITUTE('Start here'!$B$6," ",""))))+1,1))</f>
        <v/>
      </c>
      <c r="U55" s="22">
        <f>IF(OR('Start here'!$B$5="",UPPER(SUBSTITUTE('Start here'!$B$6," ",""))=""),"",MID(UPPER(SUBSTITUTE('Start here'!$B$6," ","")),MOD(DATE(2026,12,3)-'Start here'!$B$5,LEN(UPPER(SUBSTITUTE('Start here'!$B$6," ",""))))+1,1))</f>
        <v/>
      </c>
      <c r="V55" s="22">
        <f>IF(OR('Start here'!$B$5="",UPPER(SUBSTITUTE('Start here'!$B$6," ",""))=""),"",MID(UPPER(SUBSTITUTE('Start here'!$B$6," ","")),MOD(DATE(2026,12,4)-'Start here'!$B$5,LEN(UPPER(SUBSTITUTE('Start here'!$B$6," ",""))))+1,1))</f>
        <v/>
      </c>
      <c r="W55" s="22">
        <f>IF(OR('Start here'!$B$5="",UPPER(SUBSTITUTE('Start here'!$B$6," ",""))=""),"",MID(UPPER(SUBSTITUTE('Start here'!$B$6," ","")),MOD(DATE(2026,12,5)-'Start here'!$B$5,LEN(UPPER(SUBSTITUTE('Start here'!$B$6," ",""))))+1,1))</f>
        <v/>
      </c>
    </row>
    <row r="56">
      <c r="A56" s="20" t="n">
        <v>4</v>
      </c>
      <c r="B56" s="20" t="n">
        <v>5</v>
      </c>
      <c r="C56" s="20" t="n">
        <v>6</v>
      </c>
      <c r="D56" s="20" t="n">
        <v>7</v>
      </c>
      <c r="E56" s="20" t="n">
        <v>8</v>
      </c>
      <c r="F56" s="20" t="n">
        <v>9</v>
      </c>
      <c r="G56" s="20" t="n">
        <v>10</v>
      </c>
      <c r="I56" s="20" t="n">
        <v>8</v>
      </c>
      <c r="J56" s="20" t="n">
        <v>9</v>
      </c>
      <c r="K56" s="20" t="n">
        <v>10</v>
      </c>
      <c r="L56" s="20" t="n">
        <v>11</v>
      </c>
      <c r="M56" s="20" t="n">
        <v>12</v>
      </c>
      <c r="N56" s="20" t="n">
        <v>13</v>
      </c>
      <c r="O56" s="20" t="n">
        <v>14</v>
      </c>
      <c r="Q56" s="20" t="n">
        <v>6</v>
      </c>
      <c r="R56" s="20" t="n">
        <v>7</v>
      </c>
      <c r="S56" s="20" t="n">
        <v>8</v>
      </c>
      <c r="T56" s="20" t="n">
        <v>9</v>
      </c>
      <c r="U56" s="20" t="n">
        <v>10</v>
      </c>
      <c r="V56" s="20" t="n">
        <v>11</v>
      </c>
      <c r="W56" s="20" t="n">
        <v>12</v>
      </c>
    </row>
    <row r="57">
      <c r="A57" s="22">
        <f>IF(OR('Start here'!$B$5="",UPPER(SUBSTITUTE('Start here'!$B$6," ",""))=""),"",MID(UPPER(SUBSTITUTE('Start here'!$B$6," ","")),MOD(DATE(2026,10,4)-'Start here'!$B$5,LEN(UPPER(SUBSTITUTE('Start here'!$B$6," ",""))))+1,1))</f>
        <v/>
      </c>
      <c r="B57" s="22">
        <f>IF(OR('Start here'!$B$5="",UPPER(SUBSTITUTE('Start here'!$B$6," ",""))=""),"",MID(UPPER(SUBSTITUTE('Start here'!$B$6," ","")),MOD(DATE(2026,10,5)-'Start here'!$B$5,LEN(UPPER(SUBSTITUTE('Start here'!$B$6," ",""))))+1,1))</f>
        <v/>
      </c>
      <c r="C57" s="22">
        <f>IF(OR('Start here'!$B$5="",UPPER(SUBSTITUTE('Start here'!$B$6," ",""))=""),"",MID(UPPER(SUBSTITUTE('Start here'!$B$6," ","")),MOD(DATE(2026,10,6)-'Start here'!$B$5,LEN(UPPER(SUBSTITUTE('Start here'!$B$6," ",""))))+1,1))</f>
        <v/>
      </c>
      <c r="D57" s="22">
        <f>IF(OR('Start here'!$B$5="",UPPER(SUBSTITUTE('Start here'!$B$6," ",""))=""),"",MID(UPPER(SUBSTITUTE('Start here'!$B$6," ","")),MOD(DATE(2026,10,7)-'Start here'!$B$5,LEN(UPPER(SUBSTITUTE('Start here'!$B$6," ",""))))+1,1))</f>
        <v/>
      </c>
      <c r="E57" s="22">
        <f>IF(OR('Start here'!$B$5="",UPPER(SUBSTITUTE('Start here'!$B$6," ",""))=""),"",MID(UPPER(SUBSTITUTE('Start here'!$B$6," ","")),MOD(DATE(2026,10,8)-'Start here'!$B$5,LEN(UPPER(SUBSTITUTE('Start here'!$B$6," ",""))))+1,1))</f>
        <v/>
      </c>
      <c r="F57" s="22">
        <f>IF(OR('Start here'!$B$5="",UPPER(SUBSTITUTE('Start here'!$B$6," ",""))=""),"",MID(UPPER(SUBSTITUTE('Start here'!$B$6," ","")),MOD(DATE(2026,10,9)-'Start here'!$B$5,LEN(UPPER(SUBSTITUTE('Start here'!$B$6," ",""))))+1,1))</f>
        <v/>
      </c>
      <c r="G57" s="22">
        <f>IF(OR('Start here'!$B$5="",UPPER(SUBSTITUTE('Start here'!$B$6," ",""))=""),"",MID(UPPER(SUBSTITUTE('Start here'!$B$6," ","")),MOD(DATE(2026,10,10)-'Start here'!$B$5,LEN(UPPER(SUBSTITUTE('Start here'!$B$6," ",""))))+1,1))</f>
        <v/>
      </c>
      <c r="I57" s="22">
        <f>IF(OR('Start here'!$B$5="",UPPER(SUBSTITUTE('Start here'!$B$6," ",""))=""),"",MID(UPPER(SUBSTITUTE('Start here'!$B$6," ","")),MOD(DATE(2026,11,8)-'Start here'!$B$5,LEN(UPPER(SUBSTITUTE('Start here'!$B$6," ",""))))+1,1))</f>
        <v/>
      </c>
      <c r="J57" s="22">
        <f>IF(OR('Start here'!$B$5="",UPPER(SUBSTITUTE('Start here'!$B$6," ",""))=""),"",MID(UPPER(SUBSTITUTE('Start here'!$B$6," ","")),MOD(DATE(2026,11,9)-'Start here'!$B$5,LEN(UPPER(SUBSTITUTE('Start here'!$B$6," ",""))))+1,1))</f>
        <v/>
      </c>
      <c r="K57" s="22">
        <f>IF(OR('Start here'!$B$5="",UPPER(SUBSTITUTE('Start here'!$B$6," ",""))=""),"",MID(UPPER(SUBSTITUTE('Start here'!$B$6," ","")),MOD(DATE(2026,11,10)-'Start here'!$B$5,LEN(UPPER(SUBSTITUTE('Start here'!$B$6," ",""))))+1,1))</f>
        <v/>
      </c>
      <c r="L57" s="22">
        <f>IF(OR('Start here'!$B$5="",UPPER(SUBSTITUTE('Start here'!$B$6," ",""))=""),"",MID(UPPER(SUBSTITUTE('Start here'!$B$6," ","")),MOD(DATE(2026,11,11)-'Start here'!$B$5,LEN(UPPER(SUBSTITUTE('Start here'!$B$6," ",""))))+1,1))</f>
        <v/>
      </c>
      <c r="M57" s="22">
        <f>IF(OR('Start here'!$B$5="",UPPER(SUBSTITUTE('Start here'!$B$6," ",""))=""),"",MID(UPPER(SUBSTITUTE('Start here'!$B$6," ","")),MOD(DATE(2026,11,12)-'Start here'!$B$5,LEN(UPPER(SUBSTITUTE('Start here'!$B$6," ",""))))+1,1))</f>
        <v/>
      </c>
      <c r="N57" s="22">
        <f>IF(OR('Start here'!$B$5="",UPPER(SUBSTITUTE('Start here'!$B$6," ",""))=""),"",MID(UPPER(SUBSTITUTE('Start here'!$B$6," ","")),MOD(DATE(2026,11,13)-'Start here'!$B$5,LEN(UPPER(SUBSTITUTE('Start here'!$B$6," ",""))))+1,1))</f>
        <v/>
      </c>
      <c r="O57" s="22">
        <f>IF(OR('Start here'!$B$5="",UPPER(SUBSTITUTE('Start here'!$B$6," ",""))=""),"",MID(UPPER(SUBSTITUTE('Start here'!$B$6," ","")),MOD(DATE(2026,11,14)-'Start here'!$B$5,LEN(UPPER(SUBSTITUTE('Start here'!$B$6," ",""))))+1,1))</f>
        <v/>
      </c>
      <c r="Q57" s="22">
        <f>IF(OR('Start here'!$B$5="",UPPER(SUBSTITUTE('Start here'!$B$6," ",""))=""),"",MID(UPPER(SUBSTITUTE('Start here'!$B$6," ","")),MOD(DATE(2026,12,6)-'Start here'!$B$5,LEN(UPPER(SUBSTITUTE('Start here'!$B$6," ",""))))+1,1))</f>
        <v/>
      </c>
      <c r="R57" s="22">
        <f>IF(OR('Start here'!$B$5="",UPPER(SUBSTITUTE('Start here'!$B$6," ",""))=""),"",MID(UPPER(SUBSTITUTE('Start here'!$B$6," ","")),MOD(DATE(2026,12,7)-'Start here'!$B$5,LEN(UPPER(SUBSTITUTE('Start here'!$B$6," ",""))))+1,1))</f>
        <v/>
      </c>
      <c r="S57" s="22">
        <f>IF(OR('Start here'!$B$5="",UPPER(SUBSTITUTE('Start here'!$B$6," ",""))=""),"",MID(UPPER(SUBSTITUTE('Start here'!$B$6," ","")),MOD(DATE(2026,12,8)-'Start here'!$B$5,LEN(UPPER(SUBSTITUTE('Start here'!$B$6," ",""))))+1,1))</f>
        <v/>
      </c>
      <c r="T57" s="22">
        <f>IF(OR('Start here'!$B$5="",UPPER(SUBSTITUTE('Start here'!$B$6," ",""))=""),"",MID(UPPER(SUBSTITUTE('Start here'!$B$6," ","")),MOD(DATE(2026,12,9)-'Start here'!$B$5,LEN(UPPER(SUBSTITUTE('Start here'!$B$6," ",""))))+1,1))</f>
        <v/>
      </c>
      <c r="U57" s="22">
        <f>IF(OR('Start here'!$B$5="",UPPER(SUBSTITUTE('Start here'!$B$6," ",""))=""),"",MID(UPPER(SUBSTITUTE('Start here'!$B$6," ","")),MOD(DATE(2026,12,10)-'Start here'!$B$5,LEN(UPPER(SUBSTITUTE('Start here'!$B$6," ",""))))+1,1))</f>
        <v/>
      </c>
      <c r="V57" s="22">
        <f>IF(OR('Start here'!$B$5="",UPPER(SUBSTITUTE('Start here'!$B$6," ",""))=""),"",MID(UPPER(SUBSTITUTE('Start here'!$B$6," ","")),MOD(DATE(2026,12,11)-'Start here'!$B$5,LEN(UPPER(SUBSTITUTE('Start here'!$B$6," ",""))))+1,1))</f>
        <v/>
      </c>
      <c r="W57" s="22">
        <f>IF(OR('Start here'!$B$5="",UPPER(SUBSTITUTE('Start here'!$B$6," ",""))=""),"",MID(UPPER(SUBSTITUTE('Start here'!$B$6," ","")),MOD(DATE(2026,12,12)-'Start here'!$B$5,LEN(UPPER(SUBSTITUTE('Start here'!$B$6," ",""))))+1,1))</f>
        <v/>
      </c>
    </row>
    <row r="58">
      <c r="A58" s="20" t="n">
        <v>11</v>
      </c>
      <c r="B58" s="20" t="n">
        <v>12</v>
      </c>
      <c r="C58" s="20" t="n">
        <v>13</v>
      </c>
      <c r="D58" s="20" t="n">
        <v>14</v>
      </c>
      <c r="E58" s="20" t="n">
        <v>15</v>
      </c>
      <c r="F58" s="20" t="n">
        <v>16</v>
      </c>
      <c r="G58" s="20" t="n">
        <v>17</v>
      </c>
      <c r="I58" s="20" t="n">
        <v>15</v>
      </c>
      <c r="J58" s="20" t="n">
        <v>16</v>
      </c>
      <c r="K58" s="20" t="n">
        <v>17</v>
      </c>
      <c r="L58" s="20" t="n">
        <v>18</v>
      </c>
      <c r="M58" s="20" t="n">
        <v>19</v>
      </c>
      <c r="N58" s="20" t="n">
        <v>20</v>
      </c>
      <c r="O58" s="20" t="n">
        <v>21</v>
      </c>
      <c r="Q58" s="20" t="n">
        <v>13</v>
      </c>
      <c r="R58" s="20" t="n">
        <v>14</v>
      </c>
      <c r="S58" s="20" t="n">
        <v>15</v>
      </c>
      <c r="T58" s="20" t="n">
        <v>16</v>
      </c>
      <c r="U58" s="20" t="n">
        <v>17</v>
      </c>
      <c r="V58" s="20" t="n">
        <v>18</v>
      </c>
      <c r="W58" s="20" t="n">
        <v>19</v>
      </c>
    </row>
    <row r="59">
      <c r="A59" s="22">
        <f>IF(OR('Start here'!$B$5="",UPPER(SUBSTITUTE('Start here'!$B$6," ",""))=""),"",MID(UPPER(SUBSTITUTE('Start here'!$B$6," ","")),MOD(DATE(2026,10,11)-'Start here'!$B$5,LEN(UPPER(SUBSTITUTE('Start here'!$B$6," ",""))))+1,1))</f>
        <v/>
      </c>
      <c r="B59" s="22">
        <f>IF(OR('Start here'!$B$5="",UPPER(SUBSTITUTE('Start here'!$B$6," ",""))=""),"",MID(UPPER(SUBSTITUTE('Start here'!$B$6," ","")),MOD(DATE(2026,10,12)-'Start here'!$B$5,LEN(UPPER(SUBSTITUTE('Start here'!$B$6," ",""))))+1,1))</f>
        <v/>
      </c>
      <c r="C59" s="22">
        <f>IF(OR('Start here'!$B$5="",UPPER(SUBSTITUTE('Start here'!$B$6," ",""))=""),"",MID(UPPER(SUBSTITUTE('Start here'!$B$6," ","")),MOD(DATE(2026,10,13)-'Start here'!$B$5,LEN(UPPER(SUBSTITUTE('Start here'!$B$6," ",""))))+1,1))</f>
        <v/>
      </c>
      <c r="D59" s="22">
        <f>IF(OR('Start here'!$B$5="",UPPER(SUBSTITUTE('Start here'!$B$6," ",""))=""),"",MID(UPPER(SUBSTITUTE('Start here'!$B$6," ","")),MOD(DATE(2026,10,14)-'Start here'!$B$5,LEN(UPPER(SUBSTITUTE('Start here'!$B$6," ",""))))+1,1))</f>
        <v/>
      </c>
      <c r="E59" s="22">
        <f>IF(OR('Start here'!$B$5="",UPPER(SUBSTITUTE('Start here'!$B$6," ",""))=""),"",MID(UPPER(SUBSTITUTE('Start here'!$B$6," ","")),MOD(DATE(2026,10,15)-'Start here'!$B$5,LEN(UPPER(SUBSTITUTE('Start here'!$B$6," ",""))))+1,1))</f>
        <v/>
      </c>
      <c r="F59" s="22">
        <f>IF(OR('Start here'!$B$5="",UPPER(SUBSTITUTE('Start here'!$B$6," ",""))=""),"",MID(UPPER(SUBSTITUTE('Start here'!$B$6," ","")),MOD(DATE(2026,10,16)-'Start here'!$B$5,LEN(UPPER(SUBSTITUTE('Start here'!$B$6," ",""))))+1,1))</f>
        <v/>
      </c>
      <c r="G59" s="22">
        <f>IF(OR('Start here'!$B$5="",UPPER(SUBSTITUTE('Start here'!$B$6," ",""))=""),"",MID(UPPER(SUBSTITUTE('Start here'!$B$6," ","")),MOD(DATE(2026,10,17)-'Start here'!$B$5,LEN(UPPER(SUBSTITUTE('Start here'!$B$6," ",""))))+1,1))</f>
        <v/>
      </c>
      <c r="I59" s="22">
        <f>IF(OR('Start here'!$B$5="",UPPER(SUBSTITUTE('Start here'!$B$6," ",""))=""),"",MID(UPPER(SUBSTITUTE('Start here'!$B$6," ","")),MOD(DATE(2026,11,15)-'Start here'!$B$5,LEN(UPPER(SUBSTITUTE('Start here'!$B$6," ",""))))+1,1))</f>
        <v/>
      </c>
      <c r="J59" s="22">
        <f>IF(OR('Start here'!$B$5="",UPPER(SUBSTITUTE('Start here'!$B$6," ",""))=""),"",MID(UPPER(SUBSTITUTE('Start here'!$B$6," ","")),MOD(DATE(2026,11,16)-'Start here'!$B$5,LEN(UPPER(SUBSTITUTE('Start here'!$B$6," ",""))))+1,1))</f>
        <v/>
      </c>
      <c r="K59" s="22">
        <f>IF(OR('Start here'!$B$5="",UPPER(SUBSTITUTE('Start here'!$B$6," ",""))=""),"",MID(UPPER(SUBSTITUTE('Start here'!$B$6," ","")),MOD(DATE(2026,11,17)-'Start here'!$B$5,LEN(UPPER(SUBSTITUTE('Start here'!$B$6," ",""))))+1,1))</f>
        <v/>
      </c>
      <c r="L59" s="22">
        <f>IF(OR('Start here'!$B$5="",UPPER(SUBSTITUTE('Start here'!$B$6," ",""))=""),"",MID(UPPER(SUBSTITUTE('Start here'!$B$6," ","")),MOD(DATE(2026,11,18)-'Start here'!$B$5,LEN(UPPER(SUBSTITUTE('Start here'!$B$6," ",""))))+1,1))</f>
        <v/>
      </c>
      <c r="M59" s="22">
        <f>IF(OR('Start here'!$B$5="",UPPER(SUBSTITUTE('Start here'!$B$6," ",""))=""),"",MID(UPPER(SUBSTITUTE('Start here'!$B$6," ","")),MOD(DATE(2026,11,19)-'Start here'!$B$5,LEN(UPPER(SUBSTITUTE('Start here'!$B$6," ",""))))+1,1))</f>
        <v/>
      </c>
      <c r="N59" s="22">
        <f>IF(OR('Start here'!$B$5="",UPPER(SUBSTITUTE('Start here'!$B$6," ",""))=""),"",MID(UPPER(SUBSTITUTE('Start here'!$B$6," ","")),MOD(DATE(2026,11,20)-'Start here'!$B$5,LEN(UPPER(SUBSTITUTE('Start here'!$B$6," ",""))))+1,1))</f>
        <v/>
      </c>
      <c r="O59" s="22">
        <f>IF(OR('Start here'!$B$5="",UPPER(SUBSTITUTE('Start here'!$B$6," ",""))=""),"",MID(UPPER(SUBSTITUTE('Start here'!$B$6," ","")),MOD(DATE(2026,11,21)-'Start here'!$B$5,LEN(UPPER(SUBSTITUTE('Start here'!$B$6," ",""))))+1,1))</f>
        <v/>
      </c>
      <c r="Q59" s="22">
        <f>IF(OR('Start here'!$B$5="",UPPER(SUBSTITUTE('Start here'!$B$6," ",""))=""),"",MID(UPPER(SUBSTITUTE('Start here'!$B$6," ","")),MOD(DATE(2026,12,13)-'Start here'!$B$5,LEN(UPPER(SUBSTITUTE('Start here'!$B$6," ",""))))+1,1))</f>
        <v/>
      </c>
      <c r="R59" s="22">
        <f>IF(OR('Start here'!$B$5="",UPPER(SUBSTITUTE('Start here'!$B$6," ",""))=""),"",MID(UPPER(SUBSTITUTE('Start here'!$B$6," ","")),MOD(DATE(2026,12,14)-'Start here'!$B$5,LEN(UPPER(SUBSTITUTE('Start here'!$B$6," ",""))))+1,1))</f>
        <v/>
      </c>
      <c r="S59" s="22">
        <f>IF(OR('Start here'!$B$5="",UPPER(SUBSTITUTE('Start here'!$B$6," ",""))=""),"",MID(UPPER(SUBSTITUTE('Start here'!$B$6," ","")),MOD(DATE(2026,12,15)-'Start here'!$B$5,LEN(UPPER(SUBSTITUTE('Start here'!$B$6," ",""))))+1,1))</f>
        <v/>
      </c>
      <c r="T59" s="22">
        <f>IF(OR('Start here'!$B$5="",UPPER(SUBSTITUTE('Start here'!$B$6," ",""))=""),"",MID(UPPER(SUBSTITUTE('Start here'!$B$6," ","")),MOD(DATE(2026,12,16)-'Start here'!$B$5,LEN(UPPER(SUBSTITUTE('Start here'!$B$6," ",""))))+1,1))</f>
        <v/>
      </c>
      <c r="U59" s="22">
        <f>IF(OR('Start here'!$B$5="",UPPER(SUBSTITUTE('Start here'!$B$6," ",""))=""),"",MID(UPPER(SUBSTITUTE('Start here'!$B$6," ","")),MOD(DATE(2026,12,17)-'Start here'!$B$5,LEN(UPPER(SUBSTITUTE('Start here'!$B$6," ",""))))+1,1))</f>
        <v/>
      </c>
      <c r="V59" s="22">
        <f>IF(OR('Start here'!$B$5="",UPPER(SUBSTITUTE('Start here'!$B$6," ",""))=""),"",MID(UPPER(SUBSTITUTE('Start here'!$B$6," ","")),MOD(DATE(2026,12,18)-'Start here'!$B$5,LEN(UPPER(SUBSTITUTE('Start here'!$B$6," ",""))))+1,1))</f>
        <v/>
      </c>
      <c r="W59" s="22">
        <f>IF(OR('Start here'!$B$5="",UPPER(SUBSTITUTE('Start here'!$B$6," ",""))=""),"",MID(UPPER(SUBSTITUTE('Start here'!$B$6," ","")),MOD(DATE(2026,12,19)-'Start here'!$B$5,LEN(UPPER(SUBSTITUTE('Start here'!$B$6," ",""))))+1,1))</f>
        <v/>
      </c>
    </row>
    <row r="60">
      <c r="A60" s="20" t="n">
        <v>18</v>
      </c>
      <c r="B60" s="20" t="n">
        <v>19</v>
      </c>
      <c r="C60" s="20" t="n">
        <v>20</v>
      </c>
      <c r="D60" s="20" t="n">
        <v>21</v>
      </c>
      <c r="E60" s="20" t="n">
        <v>22</v>
      </c>
      <c r="F60" s="20" t="n">
        <v>23</v>
      </c>
      <c r="G60" s="20" t="n">
        <v>24</v>
      </c>
      <c r="I60" s="20" t="n">
        <v>22</v>
      </c>
      <c r="J60" s="20" t="n">
        <v>23</v>
      </c>
      <c r="K60" s="20" t="n">
        <v>24</v>
      </c>
      <c r="L60" s="20" t="n">
        <v>25</v>
      </c>
      <c r="M60" s="20" t="n">
        <v>26</v>
      </c>
      <c r="N60" s="20" t="n">
        <v>27</v>
      </c>
      <c r="O60" s="20" t="n">
        <v>28</v>
      </c>
      <c r="Q60" s="20" t="n">
        <v>20</v>
      </c>
      <c r="R60" s="20" t="n">
        <v>21</v>
      </c>
      <c r="S60" s="20" t="n">
        <v>22</v>
      </c>
      <c r="T60" s="20" t="n">
        <v>23</v>
      </c>
      <c r="U60" s="20" t="n">
        <v>24</v>
      </c>
      <c r="V60" s="20" t="n">
        <v>25</v>
      </c>
      <c r="W60" s="20" t="n">
        <v>26</v>
      </c>
    </row>
    <row r="61">
      <c r="A61" s="22">
        <f>IF(OR('Start here'!$B$5="",UPPER(SUBSTITUTE('Start here'!$B$6," ",""))=""),"",MID(UPPER(SUBSTITUTE('Start here'!$B$6," ","")),MOD(DATE(2026,10,18)-'Start here'!$B$5,LEN(UPPER(SUBSTITUTE('Start here'!$B$6," ",""))))+1,1))</f>
        <v/>
      </c>
      <c r="B61" s="22">
        <f>IF(OR('Start here'!$B$5="",UPPER(SUBSTITUTE('Start here'!$B$6," ",""))=""),"",MID(UPPER(SUBSTITUTE('Start here'!$B$6," ","")),MOD(DATE(2026,10,19)-'Start here'!$B$5,LEN(UPPER(SUBSTITUTE('Start here'!$B$6," ",""))))+1,1))</f>
        <v/>
      </c>
      <c r="C61" s="22">
        <f>IF(OR('Start here'!$B$5="",UPPER(SUBSTITUTE('Start here'!$B$6," ",""))=""),"",MID(UPPER(SUBSTITUTE('Start here'!$B$6," ","")),MOD(DATE(2026,10,20)-'Start here'!$B$5,LEN(UPPER(SUBSTITUTE('Start here'!$B$6," ",""))))+1,1))</f>
        <v/>
      </c>
      <c r="D61" s="22">
        <f>IF(OR('Start here'!$B$5="",UPPER(SUBSTITUTE('Start here'!$B$6," ",""))=""),"",MID(UPPER(SUBSTITUTE('Start here'!$B$6," ","")),MOD(DATE(2026,10,21)-'Start here'!$B$5,LEN(UPPER(SUBSTITUTE('Start here'!$B$6," ",""))))+1,1))</f>
        <v/>
      </c>
      <c r="E61" s="22">
        <f>IF(OR('Start here'!$B$5="",UPPER(SUBSTITUTE('Start here'!$B$6," ",""))=""),"",MID(UPPER(SUBSTITUTE('Start here'!$B$6," ","")),MOD(DATE(2026,10,22)-'Start here'!$B$5,LEN(UPPER(SUBSTITUTE('Start here'!$B$6," ",""))))+1,1))</f>
        <v/>
      </c>
      <c r="F61" s="22">
        <f>IF(OR('Start here'!$B$5="",UPPER(SUBSTITUTE('Start here'!$B$6," ",""))=""),"",MID(UPPER(SUBSTITUTE('Start here'!$B$6," ","")),MOD(DATE(2026,10,23)-'Start here'!$B$5,LEN(UPPER(SUBSTITUTE('Start here'!$B$6," ",""))))+1,1))</f>
        <v/>
      </c>
      <c r="G61" s="22">
        <f>IF(OR('Start here'!$B$5="",UPPER(SUBSTITUTE('Start here'!$B$6," ",""))=""),"",MID(UPPER(SUBSTITUTE('Start here'!$B$6," ","")),MOD(DATE(2026,10,24)-'Start here'!$B$5,LEN(UPPER(SUBSTITUTE('Start here'!$B$6," ",""))))+1,1))</f>
        <v/>
      </c>
      <c r="I61" s="22">
        <f>IF(OR('Start here'!$B$5="",UPPER(SUBSTITUTE('Start here'!$B$6," ",""))=""),"",MID(UPPER(SUBSTITUTE('Start here'!$B$6," ","")),MOD(DATE(2026,11,22)-'Start here'!$B$5,LEN(UPPER(SUBSTITUTE('Start here'!$B$6," ",""))))+1,1))</f>
        <v/>
      </c>
      <c r="J61" s="22">
        <f>IF(OR('Start here'!$B$5="",UPPER(SUBSTITUTE('Start here'!$B$6," ",""))=""),"",MID(UPPER(SUBSTITUTE('Start here'!$B$6," ","")),MOD(DATE(2026,11,23)-'Start here'!$B$5,LEN(UPPER(SUBSTITUTE('Start here'!$B$6," ",""))))+1,1))</f>
        <v/>
      </c>
      <c r="K61" s="22">
        <f>IF(OR('Start here'!$B$5="",UPPER(SUBSTITUTE('Start here'!$B$6," ",""))=""),"",MID(UPPER(SUBSTITUTE('Start here'!$B$6," ","")),MOD(DATE(2026,11,24)-'Start here'!$B$5,LEN(UPPER(SUBSTITUTE('Start here'!$B$6," ",""))))+1,1))</f>
        <v/>
      </c>
      <c r="L61" s="22">
        <f>IF(OR('Start here'!$B$5="",UPPER(SUBSTITUTE('Start here'!$B$6," ",""))=""),"",MID(UPPER(SUBSTITUTE('Start here'!$B$6," ","")),MOD(DATE(2026,11,25)-'Start here'!$B$5,LEN(UPPER(SUBSTITUTE('Start here'!$B$6," ",""))))+1,1))</f>
        <v/>
      </c>
      <c r="M61" s="22">
        <f>IF(OR('Start here'!$B$5="",UPPER(SUBSTITUTE('Start here'!$B$6," ",""))=""),"",MID(UPPER(SUBSTITUTE('Start here'!$B$6," ","")),MOD(DATE(2026,11,26)-'Start here'!$B$5,LEN(UPPER(SUBSTITUTE('Start here'!$B$6," ",""))))+1,1))</f>
        <v/>
      </c>
      <c r="N61" s="22">
        <f>IF(OR('Start here'!$B$5="",UPPER(SUBSTITUTE('Start here'!$B$6," ",""))=""),"",MID(UPPER(SUBSTITUTE('Start here'!$B$6," ","")),MOD(DATE(2026,11,27)-'Start here'!$B$5,LEN(UPPER(SUBSTITUTE('Start here'!$B$6," ",""))))+1,1))</f>
        <v/>
      </c>
      <c r="O61" s="22">
        <f>IF(OR('Start here'!$B$5="",UPPER(SUBSTITUTE('Start here'!$B$6," ",""))=""),"",MID(UPPER(SUBSTITUTE('Start here'!$B$6," ","")),MOD(DATE(2026,11,28)-'Start here'!$B$5,LEN(UPPER(SUBSTITUTE('Start here'!$B$6," ",""))))+1,1))</f>
        <v/>
      </c>
      <c r="Q61" s="22">
        <f>IF(OR('Start here'!$B$5="",UPPER(SUBSTITUTE('Start here'!$B$6," ",""))=""),"",MID(UPPER(SUBSTITUTE('Start here'!$B$6," ","")),MOD(DATE(2026,12,20)-'Start here'!$B$5,LEN(UPPER(SUBSTITUTE('Start here'!$B$6," ",""))))+1,1))</f>
        <v/>
      </c>
      <c r="R61" s="22">
        <f>IF(OR('Start here'!$B$5="",UPPER(SUBSTITUTE('Start here'!$B$6," ",""))=""),"",MID(UPPER(SUBSTITUTE('Start here'!$B$6," ","")),MOD(DATE(2026,12,21)-'Start here'!$B$5,LEN(UPPER(SUBSTITUTE('Start here'!$B$6," ",""))))+1,1))</f>
        <v/>
      </c>
      <c r="S61" s="22">
        <f>IF(OR('Start here'!$B$5="",UPPER(SUBSTITUTE('Start here'!$B$6," ",""))=""),"",MID(UPPER(SUBSTITUTE('Start here'!$B$6," ","")),MOD(DATE(2026,12,22)-'Start here'!$B$5,LEN(UPPER(SUBSTITUTE('Start here'!$B$6," ",""))))+1,1))</f>
        <v/>
      </c>
      <c r="T61" s="22">
        <f>IF(OR('Start here'!$B$5="",UPPER(SUBSTITUTE('Start here'!$B$6," ",""))=""),"",MID(UPPER(SUBSTITUTE('Start here'!$B$6," ","")),MOD(DATE(2026,12,23)-'Start here'!$B$5,LEN(UPPER(SUBSTITUTE('Start here'!$B$6," ",""))))+1,1))</f>
        <v/>
      </c>
      <c r="U61" s="22">
        <f>IF(OR('Start here'!$B$5="",UPPER(SUBSTITUTE('Start here'!$B$6," ",""))=""),"",MID(UPPER(SUBSTITUTE('Start here'!$B$6," ","")),MOD(DATE(2026,12,24)-'Start here'!$B$5,LEN(UPPER(SUBSTITUTE('Start here'!$B$6," ",""))))+1,1))</f>
        <v/>
      </c>
      <c r="V61" s="22">
        <f>IF(OR('Start here'!$B$5="",UPPER(SUBSTITUTE('Start here'!$B$6," ",""))=""),"",MID(UPPER(SUBSTITUTE('Start here'!$B$6," ","")),MOD(DATE(2026,12,25)-'Start here'!$B$5,LEN(UPPER(SUBSTITUTE('Start here'!$B$6," ",""))))+1,1))</f>
        <v/>
      </c>
      <c r="W61" s="22">
        <f>IF(OR('Start here'!$B$5="",UPPER(SUBSTITUTE('Start here'!$B$6," ",""))=""),"",MID(UPPER(SUBSTITUTE('Start here'!$B$6," ","")),MOD(DATE(2026,12,26)-'Start here'!$B$5,LEN(UPPER(SUBSTITUTE('Start here'!$B$6," ",""))))+1,1))</f>
        <v/>
      </c>
    </row>
    <row r="62">
      <c r="A62" s="20" t="n">
        <v>25</v>
      </c>
      <c r="B62" s="20" t="n">
        <v>26</v>
      </c>
      <c r="C62" s="20" t="n">
        <v>27</v>
      </c>
      <c r="D62" s="20" t="n">
        <v>28</v>
      </c>
      <c r="E62" s="20" t="n">
        <v>29</v>
      </c>
      <c r="F62" s="20" t="n">
        <v>30</v>
      </c>
      <c r="G62" s="20" t="n">
        <v>31</v>
      </c>
      <c r="I62" s="20" t="n">
        <v>29</v>
      </c>
      <c r="J62" s="20" t="n">
        <v>30</v>
      </c>
      <c r="K62" s="19" t="n"/>
      <c r="L62" s="19" t="n"/>
      <c r="M62" s="19" t="n"/>
      <c r="N62" s="19" t="n"/>
      <c r="O62" s="19" t="n"/>
      <c r="Q62" s="20" t="n">
        <v>27</v>
      </c>
      <c r="R62" s="20" t="n">
        <v>28</v>
      </c>
      <c r="S62" s="20" t="n">
        <v>29</v>
      </c>
      <c r="T62" s="20" t="n">
        <v>30</v>
      </c>
      <c r="U62" s="20" t="n">
        <v>31</v>
      </c>
      <c r="V62" s="19" t="n"/>
      <c r="W62" s="19" t="n"/>
    </row>
    <row r="63">
      <c r="A63" s="22">
        <f>IF(OR('Start here'!$B$5="",UPPER(SUBSTITUTE('Start here'!$B$6," ",""))=""),"",MID(UPPER(SUBSTITUTE('Start here'!$B$6," ","")),MOD(DATE(2026,10,25)-'Start here'!$B$5,LEN(UPPER(SUBSTITUTE('Start here'!$B$6," ",""))))+1,1))</f>
        <v/>
      </c>
      <c r="B63" s="22">
        <f>IF(OR('Start here'!$B$5="",UPPER(SUBSTITUTE('Start here'!$B$6," ",""))=""),"",MID(UPPER(SUBSTITUTE('Start here'!$B$6," ","")),MOD(DATE(2026,10,26)-'Start here'!$B$5,LEN(UPPER(SUBSTITUTE('Start here'!$B$6," ",""))))+1,1))</f>
        <v/>
      </c>
      <c r="C63" s="22">
        <f>IF(OR('Start here'!$B$5="",UPPER(SUBSTITUTE('Start here'!$B$6," ",""))=""),"",MID(UPPER(SUBSTITUTE('Start here'!$B$6," ","")),MOD(DATE(2026,10,27)-'Start here'!$B$5,LEN(UPPER(SUBSTITUTE('Start here'!$B$6," ",""))))+1,1))</f>
        <v/>
      </c>
      <c r="D63" s="22">
        <f>IF(OR('Start here'!$B$5="",UPPER(SUBSTITUTE('Start here'!$B$6," ",""))=""),"",MID(UPPER(SUBSTITUTE('Start here'!$B$6," ","")),MOD(DATE(2026,10,28)-'Start here'!$B$5,LEN(UPPER(SUBSTITUTE('Start here'!$B$6," ",""))))+1,1))</f>
        <v/>
      </c>
      <c r="E63" s="22">
        <f>IF(OR('Start here'!$B$5="",UPPER(SUBSTITUTE('Start here'!$B$6," ",""))=""),"",MID(UPPER(SUBSTITUTE('Start here'!$B$6," ","")),MOD(DATE(2026,10,29)-'Start here'!$B$5,LEN(UPPER(SUBSTITUTE('Start here'!$B$6," ",""))))+1,1))</f>
        <v/>
      </c>
      <c r="F63" s="22">
        <f>IF(OR('Start here'!$B$5="",UPPER(SUBSTITUTE('Start here'!$B$6," ",""))=""),"",MID(UPPER(SUBSTITUTE('Start here'!$B$6," ","")),MOD(DATE(2026,10,30)-'Start here'!$B$5,LEN(UPPER(SUBSTITUTE('Start here'!$B$6," ",""))))+1,1))</f>
        <v/>
      </c>
      <c r="G63" s="22">
        <f>IF(OR('Start here'!$B$5="",UPPER(SUBSTITUTE('Start here'!$B$6," ",""))=""),"",MID(UPPER(SUBSTITUTE('Start here'!$B$6," ","")),MOD(DATE(2026,10,31)-'Start here'!$B$5,LEN(UPPER(SUBSTITUTE('Start here'!$B$6," ",""))))+1,1))</f>
        <v/>
      </c>
      <c r="I63" s="22">
        <f>IF(OR('Start here'!$B$5="",UPPER(SUBSTITUTE('Start here'!$B$6," ",""))=""),"",MID(UPPER(SUBSTITUTE('Start here'!$B$6," ","")),MOD(DATE(2026,11,29)-'Start here'!$B$5,LEN(UPPER(SUBSTITUTE('Start here'!$B$6," ",""))))+1,1))</f>
        <v/>
      </c>
      <c r="J63" s="22">
        <f>IF(OR('Start here'!$B$5="",UPPER(SUBSTITUTE('Start here'!$B$6," ",""))=""),"",MID(UPPER(SUBSTITUTE('Start here'!$B$6," ","")),MOD(DATE(2026,11,30)-'Start here'!$B$5,LEN(UPPER(SUBSTITUTE('Start here'!$B$6," ",""))))+1,1))</f>
        <v/>
      </c>
      <c r="K63" s="21" t="n"/>
      <c r="L63" s="21" t="n"/>
      <c r="M63" s="21" t="n"/>
      <c r="N63" s="21" t="n"/>
      <c r="O63" s="21" t="n"/>
      <c r="Q63" s="22">
        <f>IF(OR('Start here'!$B$5="",UPPER(SUBSTITUTE('Start here'!$B$6," ",""))=""),"",MID(UPPER(SUBSTITUTE('Start here'!$B$6," ","")),MOD(DATE(2026,12,27)-'Start here'!$B$5,LEN(UPPER(SUBSTITUTE('Start here'!$B$6," ",""))))+1,1))</f>
        <v/>
      </c>
      <c r="R63" s="22">
        <f>IF(OR('Start here'!$B$5="",UPPER(SUBSTITUTE('Start here'!$B$6," ",""))=""),"",MID(UPPER(SUBSTITUTE('Start here'!$B$6," ","")),MOD(DATE(2026,12,28)-'Start here'!$B$5,LEN(UPPER(SUBSTITUTE('Start here'!$B$6," ",""))))+1,1))</f>
        <v/>
      </c>
      <c r="S63" s="22">
        <f>IF(OR('Start here'!$B$5="",UPPER(SUBSTITUTE('Start here'!$B$6," ",""))=""),"",MID(UPPER(SUBSTITUTE('Start here'!$B$6," ","")),MOD(DATE(2026,12,29)-'Start here'!$B$5,LEN(UPPER(SUBSTITUTE('Start here'!$B$6," ",""))))+1,1))</f>
        <v/>
      </c>
      <c r="T63" s="22">
        <f>IF(OR('Start here'!$B$5="",UPPER(SUBSTITUTE('Start here'!$B$6," ",""))=""),"",MID(UPPER(SUBSTITUTE('Start here'!$B$6," ","")),MOD(DATE(2026,12,30)-'Start here'!$B$5,LEN(UPPER(SUBSTITUTE('Start here'!$B$6," ",""))))+1,1))</f>
        <v/>
      </c>
      <c r="U63" s="22">
        <f>IF(OR('Start here'!$B$5="",UPPER(SUBSTITUTE('Start here'!$B$6," ",""))=""),"",MID(UPPER(SUBSTITUTE('Start here'!$B$6," ","")),MOD(DATE(2026,12,31)-'Start here'!$B$5,LEN(UPPER(SUBSTITUTE('Start here'!$B$6," ",""))))+1,1))</f>
        <v/>
      </c>
      <c r="V63" s="21" t="n"/>
      <c r="W63" s="21" t="n"/>
    </row>
    <row r="64">
      <c r="A64" s="19" t="n"/>
      <c r="B64" s="19" t="n"/>
      <c r="C64" s="19" t="n"/>
      <c r="D64" s="19" t="n"/>
      <c r="E64" s="19" t="n"/>
      <c r="F64" s="19" t="n"/>
      <c r="G64" s="19" t="n"/>
      <c r="I64" s="19" t="n"/>
      <c r="J64" s="19" t="n"/>
      <c r="K64" s="19" t="n"/>
      <c r="L64" s="19" t="n"/>
      <c r="M64" s="19" t="n"/>
      <c r="N64" s="19" t="n"/>
      <c r="O64" s="19" t="n"/>
      <c r="Q64" s="19" t="n"/>
      <c r="R64" s="19" t="n"/>
      <c r="S64" s="19" t="n"/>
      <c r="T64" s="19" t="n"/>
      <c r="U64" s="19" t="n"/>
      <c r="V64" s="19" t="n"/>
      <c r="W64" s="19" t="n"/>
    </row>
    <row r="65">
      <c r="A65" s="21" t="n"/>
      <c r="B65" s="21" t="n"/>
      <c r="C65" s="21" t="n"/>
      <c r="D65" s="21" t="n"/>
      <c r="E65" s="21" t="n"/>
      <c r="F65" s="21" t="n"/>
      <c r="G65" s="21" t="n"/>
      <c r="I65" s="21" t="n"/>
      <c r="J65" s="21" t="n"/>
      <c r="K65" s="21" t="n"/>
      <c r="L65" s="21" t="n"/>
      <c r="M65" s="21" t="n"/>
      <c r="N65" s="21" t="n"/>
      <c r="O65" s="21" t="n"/>
      <c r="Q65" s="21" t="n"/>
      <c r="R65" s="21" t="n"/>
      <c r="S65" s="21" t="n"/>
      <c r="T65" s="21" t="n"/>
      <c r="U65" s="21" t="n"/>
      <c r="V65" s="21" t="n"/>
      <c r="W65" s="21" t="n"/>
    </row>
    <row r="66">
      <c r="A66" s="23" t="inlineStr">
        <is>
          <t>Nights A</t>
        </is>
      </c>
      <c r="C66" s="24">
        <f>COUNTIF(A55:G65,"A")</f>
        <v/>
      </c>
      <c r="E66" s="23" t="inlineStr">
        <is>
          <t>B</t>
        </is>
      </c>
      <c r="F66" s="24">
        <f>COUNTIF(A55:G65,"B")</f>
        <v/>
      </c>
      <c r="I66" s="23" t="inlineStr">
        <is>
          <t>Nights A</t>
        </is>
      </c>
      <c r="K66" s="24">
        <f>COUNTIF(I55:O65,"A")</f>
        <v/>
      </c>
      <c r="M66" s="23" t="inlineStr">
        <is>
          <t>B</t>
        </is>
      </c>
      <c r="N66" s="24">
        <f>COUNTIF(I55:O65,"B")</f>
        <v/>
      </c>
      <c r="Q66" s="23" t="inlineStr">
        <is>
          <t>Nights A</t>
        </is>
      </c>
      <c r="S66" s="24">
        <f>COUNTIF(Q55:W65,"A")</f>
        <v/>
      </c>
      <c r="U66" s="23" t="inlineStr">
        <is>
          <t>B</t>
        </is>
      </c>
      <c r="V66" s="24">
        <f>COUNTIF(Q55:W65,"B")</f>
        <v/>
      </c>
    </row>
  </sheetData>
  <mergeCells count="12">
    <mergeCell ref="A36:G36"/>
    <mergeCell ref="I36:O36"/>
    <mergeCell ref="Q36:W36"/>
    <mergeCell ref="I52:O52"/>
    <mergeCell ref="Q52:W52"/>
    <mergeCell ref="Q4:W4"/>
    <mergeCell ref="A4:G4"/>
    <mergeCell ref="A20:G20"/>
    <mergeCell ref="I4:O4"/>
    <mergeCell ref="I20:O20"/>
    <mergeCell ref="A52:G52"/>
    <mergeCell ref="Q20:W20"/>
  </mergeCells>
  <conditionalFormatting sqref="A7:G17">
    <cfRule type="cellIs" priority="1" operator="equal" dxfId="0">
      <formula>"A"</formula>
    </cfRule>
    <cfRule type="cellIs" priority="2" operator="equal" dxfId="1">
      <formula>"B"</formula>
    </cfRule>
  </conditionalFormatting>
  <conditionalFormatting sqref="I7:O17">
    <cfRule type="cellIs" priority="3" operator="equal" dxfId="0">
      <formula>"A"</formula>
    </cfRule>
    <cfRule type="cellIs" priority="4" operator="equal" dxfId="1">
      <formula>"B"</formula>
    </cfRule>
  </conditionalFormatting>
  <conditionalFormatting sqref="Q7:W17">
    <cfRule type="cellIs" priority="5" operator="equal" dxfId="0">
      <formula>"A"</formula>
    </cfRule>
    <cfRule type="cellIs" priority="6" operator="equal" dxfId="1">
      <formula>"B"</formula>
    </cfRule>
  </conditionalFormatting>
  <conditionalFormatting sqref="A23:G33">
    <cfRule type="cellIs" priority="7" operator="equal" dxfId="0">
      <formula>"A"</formula>
    </cfRule>
    <cfRule type="cellIs" priority="8" operator="equal" dxfId="1">
      <formula>"B"</formula>
    </cfRule>
  </conditionalFormatting>
  <conditionalFormatting sqref="I23:O33">
    <cfRule type="cellIs" priority="9" operator="equal" dxfId="0">
      <formula>"A"</formula>
    </cfRule>
    <cfRule type="cellIs" priority="10" operator="equal" dxfId="1">
      <formula>"B"</formula>
    </cfRule>
  </conditionalFormatting>
  <conditionalFormatting sqref="Q23:W33">
    <cfRule type="cellIs" priority="11" operator="equal" dxfId="0">
      <formula>"A"</formula>
    </cfRule>
    <cfRule type="cellIs" priority="12" operator="equal" dxfId="1">
      <formula>"B"</formula>
    </cfRule>
  </conditionalFormatting>
  <conditionalFormatting sqref="A39:G49">
    <cfRule type="cellIs" priority="13" operator="equal" dxfId="0">
      <formula>"A"</formula>
    </cfRule>
    <cfRule type="cellIs" priority="14" operator="equal" dxfId="1">
      <formula>"B"</formula>
    </cfRule>
  </conditionalFormatting>
  <conditionalFormatting sqref="I39:O49">
    <cfRule type="cellIs" priority="15" operator="equal" dxfId="0">
      <formula>"A"</formula>
    </cfRule>
    <cfRule type="cellIs" priority="16" operator="equal" dxfId="1">
      <formula>"B"</formula>
    </cfRule>
  </conditionalFormatting>
  <conditionalFormatting sqref="Q39:W49">
    <cfRule type="cellIs" priority="17" operator="equal" dxfId="0">
      <formula>"A"</formula>
    </cfRule>
    <cfRule type="cellIs" priority="18" operator="equal" dxfId="1">
      <formula>"B"</formula>
    </cfRule>
  </conditionalFormatting>
  <conditionalFormatting sqref="A55:G65">
    <cfRule type="cellIs" priority="19" operator="equal" dxfId="0">
      <formula>"A"</formula>
    </cfRule>
    <cfRule type="cellIs" priority="20" operator="equal" dxfId="1">
      <formula>"B"</formula>
    </cfRule>
  </conditionalFormatting>
  <conditionalFormatting sqref="I55:O65">
    <cfRule type="cellIs" priority="21" operator="equal" dxfId="0">
      <formula>"A"</formula>
    </cfRule>
    <cfRule type="cellIs" priority="22" operator="equal" dxfId="1">
      <formula>"B"</formula>
    </cfRule>
  </conditionalFormatting>
  <conditionalFormatting sqref="Q55:W65">
    <cfRule type="cellIs" priority="23" operator="equal" dxfId="0">
      <formula>"A"</formula>
    </cfRule>
    <cfRule type="cellIs" priority="24" operator="equal" dxfId="1">
      <formula>"B"</formula>
    </cfRule>
  </conditionalFormatting>
  <dataValidations count="1">
    <dataValidation sqref="A9 A11 A13 A15 A25 A27 A29 A31 A41 A43 A45 A47 A57 A59 A61 A63 B9 B11 B13 B15 B25 B27 B29 B31 B41 B43 B45 B47 B57 B59 B61 B63 C9 C11 C13 C15 C25 C27 C29 C31 C41 C43 C45 C47 C57 C59 C61 C63 D9 D11 D13 D15 D23 D25 D27 D29 D31 D39 D41 D43 D45 D47 D57 D59 D61 D63 E7 E9 E11 E13 E15 E23 E25 E27 E29 E31 E39 E41 E43 E45 E47 E55 E57 E59 E61 E63 F7 F9 F11 F13 F15 F23 F25 F27 F29 F39 F41 F43 F45 F47 F55 F57 F59 F61 F63 G7 G9 G11 G13 G15 G23 G25 G27 G29 G39 G41 G43 G45 G55 G57 G59 G61 G63 I7 I9 I11 I13 I25 I27 I29 I31 I33 I41 I43 I45 I47 I49 I55 I57 I59 I61 I63 J7 J9 J11 J13 J25 J27 J29 J31 J41 J43 J45 J47 J49 J55 J57 J59 J61 J63 K7 K9 K11 K13 K25 K27 K29 K31 K41 K43 K45 K47 K55 K57 K59 K61 L7 L9 L11 L13 L25 L27 L29 L31 L41 L43 L45 L47 L55 L57 L59 L61 M7 M9 M11 M13 M25 M27 M29 M31 M41 M43 M45 M47 M55 M57 M59 M61 N7 N9 N11 N13 N23 N25 N27 N29 N31 N41 N43 N45 N47 N55 N57 N59 N61 O7 O9 O11 O13 O23 O25 O27 O29 O31 O39 O41 O43 O45 O47 O55 O57 O59 O61 Q7 Q9 Q11 Q13 Q15 Q25 Q27 Q29 Q31 Q41 Q43 Q45 Q47 Q57 Q59 Q61 Q63 R7 R9 R11 R13 R15 R23 R25 R27 R29 R31 R41 R43 R45 R47 R57 R59 R61 R63 S7 S9 S11 S13 S15 S23 S25 S27 S29 S31 S39 S41 S43 S45 S47 S55 S57 S59 S61 S63 T7 T9 T11 T13 T23 T25 T27 T29 T39 T41 T43 T45 T47 T55 T57 T59 T61 T63 U7 U9 U11 U13 U23 U25 U27 U29 U39 U41 U43 U45 U55 U57 U59 U61 U63 V7 V9 V11 V13 V23 V25 V27 V29 V39 V41 V43 V45 V55 V57 V59 V61 W7 W9 W11 W13 W23 W25 W27 W29 W39 W41 W43 W45 W55 W57 W59 W61" showDropDown="0" showInputMessage="0" showErrorMessage="0" allowBlank="1" type="list">
      <formula1>"A,B"</formula1>
    </dataValidation>
  </dataValidations>
  <pageMargins left="0.75" right="0.75" top="1" bottom="1" header="0.5" footer="0.5"/>
  <pageSetup orientation="landscape" fitToHeight="1" fitToWidth="1"/>
</worksheet>
</file>

<file path=xl/worksheets/sheet3.xml><?xml version="1.0" encoding="utf-8"?>
<worksheet xmlns="http://schemas.openxmlformats.org/spreadsheetml/2006/main">
  <sheetPr>
    <outlinePr summaryBelow="1" summaryRight="1"/>
    <pageSetUpPr fitToPage="1"/>
  </sheetPr>
  <dimension ref="A1:W66"/>
  <sheetViews>
    <sheetView workbookViewId="0">
      <selection activeCell="A1" sqref="A1"/>
    </sheetView>
  </sheetViews>
  <sheetFormatPr baseColWidth="8" defaultRowHeight="15"/>
  <cols>
    <col width="4.6" customWidth="1" min="1" max="1"/>
    <col width="4.6" customWidth="1" min="2" max="2"/>
    <col width="4.6" customWidth="1" min="3" max="3"/>
    <col width="4.6" customWidth="1" min="4" max="4"/>
    <col width="4.6" customWidth="1" min="5" max="5"/>
    <col width="4.6" customWidth="1" min="6" max="6"/>
    <col width="4.6" customWidth="1" min="7" max="7"/>
    <col width="2.5"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2.5" customWidth="1" min="16" max="16"/>
    <col width="4.6" customWidth="1" min="17" max="17"/>
    <col width="4.6" customWidth="1" min="18" max="18"/>
    <col width="4.6" customWidth="1" min="19" max="19"/>
    <col width="4.6" customWidth="1" min="20" max="20"/>
    <col width="4.6" customWidth="1" min="21" max="21"/>
    <col width="4.6" customWidth="1" min="22" max="22"/>
    <col width="4.6" customWidth="1" min="23" max="23"/>
  </cols>
  <sheetData>
    <row r="1">
      <c r="A1" s="1" t="inlineStr">
        <is>
          <t>2027 every other weekend custody calendar</t>
        </is>
      </c>
      <c r="Q1" s="3" t="inlineStr">
        <is>
          <t>2027 nights A</t>
        </is>
      </c>
      <c r="S1">
        <f>C18+K18+S18+C34+K34+S34+C50+K50+S50+C66+K66+S66</f>
        <v/>
      </c>
      <c r="U1" s="3" t="inlineStr">
        <is>
          <t>Share A</t>
        </is>
      </c>
      <c r="W1" s="14">
        <f>IF(S1+S2=0,"",S1/(S1+S2))</f>
        <v/>
      </c>
    </row>
    <row r="2">
      <c r="A2" s="15" t="inlineStr">
        <is>
          <t>Filled in from the start date and pattern on the Start here sheet. To record a swap, type A or B over a night (that cell stops following the pattern).</t>
        </is>
      </c>
      <c r="Q2" s="3" t="inlineStr">
        <is>
          <t>2027 nights B</t>
        </is>
      </c>
      <c r="S2">
        <f>F18+N18+V18+F34+N34+V34+F50+N50+V50+F66+N66+V66</f>
        <v/>
      </c>
      <c r="U2" s="3" t="inlineStr">
        <is>
          <t>Share B</t>
        </is>
      </c>
      <c r="W2" s="14">
        <f>IF(S1+S2=0,"",S2/(S1+S2))</f>
        <v/>
      </c>
    </row>
    <row r="4">
      <c r="A4" s="16" t="inlineStr">
        <is>
          <t>January 2027</t>
        </is>
      </c>
      <c r="B4" s="17" t="n"/>
      <c r="C4" s="17" t="n"/>
      <c r="D4" s="17" t="n"/>
      <c r="E4" s="17" t="n"/>
      <c r="F4" s="17" t="n"/>
      <c r="G4" s="17" t="n"/>
      <c r="I4" s="16" t="inlineStr">
        <is>
          <t>February 2027</t>
        </is>
      </c>
      <c r="J4" s="17" t="n"/>
      <c r="K4" s="17" t="n"/>
      <c r="L4" s="17" t="n"/>
      <c r="M4" s="17" t="n"/>
      <c r="N4" s="17" t="n"/>
      <c r="O4" s="17" t="n"/>
      <c r="Q4" s="16" t="inlineStr">
        <is>
          <t>March 2027</t>
        </is>
      </c>
      <c r="R4" s="17" t="n"/>
      <c r="S4" s="17" t="n"/>
      <c r="T4" s="17" t="n"/>
      <c r="U4" s="17" t="n"/>
      <c r="V4" s="17" t="n"/>
      <c r="W4" s="17" t="n"/>
    </row>
    <row r="5">
      <c r="A5" s="18" t="inlineStr">
        <is>
          <t>S</t>
        </is>
      </c>
      <c r="B5" s="18" t="inlineStr">
        <is>
          <t>M</t>
        </is>
      </c>
      <c r="C5" s="18" t="inlineStr">
        <is>
          <t>T</t>
        </is>
      </c>
      <c r="D5" s="18" t="inlineStr">
        <is>
          <t>W</t>
        </is>
      </c>
      <c r="E5" s="18" t="inlineStr">
        <is>
          <t>T</t>
        </is>
      </c>
      <c r="F5" s="18" t="inlineStr">
        <is>
          <t>F</t>
        </is>
      </c>
      <c r="G5" s="18" t="inlineStr">
        <is>
          <t>S</t>
        </is>
      </c>
      <c r="I5" s="18" t="inlineStr">
        <is>
          <t>S</t>
        </is>
      </c>
      <c r="J5" s="18" t="inlineStr">
        <is>
          <t>M</t>
        </is>
      </c>
      <c r="K5" s="18" t="inlineStr">
        <is>
          <t>T</t>
        </is>
      </c>
      <c r="L5" s="18" t="inlineStr">
        <is>
          <t>W</t>
        </is>
      </c>
      <c r="M5" s="18" t="inlineStr">
        <is>
          <t>T</t>
        </is>
      </c>
      <c r="N5" s="18" t="inlineStr">
        <is>
          <t>F</t>
        </is>
      </c>
      <c r="O5" s="18" t="inlineStr">
        <is>
          <t>S</t>
        </is>
      </c>
      <c r="Q5" s="18" t="inlineStr">
        <is>
          <t>S</t>
        </is>
      </c>
      <c r="R5" s="18" t="inlineStr">
        <is>
          <t>M</t>
        </is>
      </c>
      <c r="S5" s="18" t="inlineStr">
        <is>
          <t>T</t>
        </is>
      </c>
      <c r="T5" s="18" t="inlineStr">
        <is>
          <t>W</t>
        </is>
      </c>
      <c r="U5" s="18" t="inlineStr">
        <is>
          <t>T</t>
        </is>
      </c>
      <c r="V5" s="18" t="inlineStr">
        <is>
          <t>F</t>
        </is>
      </c>
      <c r="W5" s="18" t="inlineStr">
        <is>
          <t>S</t>
        </is>
      </c>
    </row>
    <row r="6">
      <c r="A6" s="19" t="n"/>
      <c r="B6" s="19" t="n"/>
      <c r="C6" s="19" t="n"/>
      <c r="D6" s="19" t="n"/>
      <c r="E6" s="19" t="n"/>
      <c r="F6" s="20" t="n">
        <v>1</v>
      </c>
      <c r="G6" s="20" t="n">
        <v>2</v>
      </c>
      <c r="I6" s="19" t="n"/>
      <c r="J6" s="20" t="n">
        <v>1</v>
      </c>
      <c r="K6" s="20" t="n">
        <v>2</v>
      </c>
      <c r="L6" s="20" t="n">
        <v>3</v>
      </c>
      <c r="M6" s="20" t="n">
        <v>4</v>
      </c>
      <c r="N6" s="20" t="n">
        <v>5</v>
      </c>
      <c r="O6" s="20" t="n">
        <v>6</v>
      </c>
      <c r="Q6" s="19" t="n"/>
      <c r="R6" s="20" t="n">
        <v>1</v>
      </c>
      <c r="S6" s="20" t="n">
        <v>2</v>
      </c>
      <c r="T6" s="20" t="n">
        <v>3</v>
      </c>
      <c r="U6" s="20" t="n">
        <v>4</v>
      </c>
      <c r="V6" s="20" t="n">
        <v>5</v>
      </c>
      <c r="W6" s="20" t="n">
        <v>6</v>
      </c>
    </row>
    <row r="7">
      <c r="A7" s="21" t="n"/>
      <c r="B7" s="21" t="n"/>
      <c r="C7" s="21" t="n"/>
      <c r="D7" s="21" t="n"/>
      <c r="E7" s="21" t="n"/>
      <c r="F7" s="22">
        <f>IF(OR('Start here'!$B$5="",UPPER(SUBSTITUTE('Start here'!$B$6," ",""))=""),"",MID(UPPER(SUBSTITUTE('Start here'!$B$6," ","")),MOD(DATE(2027,1,1)-'Start here'!$B$5,LEN(UPPER(SUBSTITUTE('Start here'!$B$6," ",""))))+1,1))</f>
        <v/>
      </c>
      <c r="G7" s="22">
        <f>IF(OR('Start here'!$B$5="",UPPER(SUBSTITUTE('Start here'!$B$6," ",""))=""),"",MID(UPPER(SUBSTITUTE('Start here'!$B$6," ","")),MOD(DATE(2027,1,2)-'Start here'!$B$5,LEN(UPPER(SUBSTITUTE('Start here'!$B$6," ",""))))+1,1))</f>
        <v/>
      </c>
      <c r="I7" s="21" t="n"/>
      <c r="J7" s="22">
        <f>IF(OR('Start here'!$B$5="",UPPER(SUBSTITUTE('Start here'!$B$6," ",""))=""),"",MID(UPPER(SUBSTITUTE('Start here'!$B$6," ","")),MOD(DATE(2027,2,1)-'Start here'!$B$5,LEN(UPPER(SUBSTITUTE('Start here'!$B$6," ",""))))+1,1))</f>
        <v/>
      </c>
      <c r="K7" s="22">
        <f>IF(OR('Start here'!$B$5="",UPPER(SUBSTITUTE('Start here'!$B$6," ",""))=""),"",MID(UPPER(SUBSTITUTE('Start here'!$B$6," ","")),MOD(DATE(2027,2,2)-'Start here'!$B$5,LEN(UPPER(SUBSTITUTE('Start here'!$B$6," ",""))))+1,1))</f>
        <v/>
      </c>
      <c r="L7" s="22">
        <f>IF(OR('Start here'!$B$5="",UPPER(SUBSTITUTE('Start here'!$B$6," ",""))=""),"",MID(UPPER(SUBSTITUTE('Start here'!$B$6," ","")),MOD(DATE(2027,2,3)-'Start here'!$B$5,LEN(UPPER(SUBSTITUTE('Start here'!$B$6," ",""))))+1,1))</f>
        <v/>
      </c>
      <c r="M7" s="22">
        <f>IF(OR('Start here'!$B$5="",UPPER(SUBSTITUTE('Start here'!$B$6," ",""))=""),"",MID(UPPER(SUBSTITUTE('Start here'!$B$6," ","")),MOD(DATE(2027,2,4)-'Start here'!$B$5,LEN(UPPER(SUBSTITUTE('Start here'!$B$6," ",""))))+1,1))</f>
        <v/>
      </c>
      <c r="N7" s="22">
        <f>IF(OR('Start here'!$B$5="",UPPER(SUBSTITUTE('Start here'!$B$6," ",""))=""),"",MID(UPPER(SUBSTITUTE('Start here'!$B$6," ","")),MOD(DATE(2027,2,5)-'Start here'!$B$5,LEN(UPPER(SUBSTITUTE('Start here'!$B$6," ",""))))+1,1))</f>
        <v/>
      </c>
      <c r="O7" s="22">
        <f>IF(OR('Start here'!$B$5="",UPPER(SUBSTITUTE('Start here'!$B$6," ",""))=""),"",MID(UPPER(SUBSTITUTE('Start here'!$B$6," ","")),MOD(DATE(2027,2,6)-'Start here'!$B$5,LEN(UPPER(SUBSTITUTE('Start here'!$B$6," ",""))))+1,1))</f>
        <v/>
      </c>
      <c r="Q7" s="21" t="n"/>
      <c r="R7" s="22">
        <f>IF(OR('Start here'!$B$5="",UPPER(SUBSTITUTE('Start here'!$B$6," ",""))=""),"",MID(UPPER(SUBSTITUTE('Start here'!$B$6," ","")),MOD(DATE(2027,3,1)-'Start here'!$B$5,LEN(UPPER(SUBSTITUTE('Start here'!$B$6," ",""))))+1,1))</f>
        <v/>
      </c>
      <c r="S7" s="22">
        <f>IF(OR('Start here'!$B$5="",UPPER(SUBSTITUTE('Start here'!$B$6," ",""))=""),"",MID(UPPER(SUBSTITUTE('Start here'!$B$6," ","")),MOD(DATE(2027,3,2)-'Start here'!$B$5,LEN(UPPER(SUBSTITUTE('Start here'!$B$6," ",""))))+1,1))</f>
        <v/>
      </c>
      <c r="T7" s="22">
        <f>IF(OR('Start here'!$B$5="",UPPER(SUBSTITUTE('Start here'!$B$6," ",""))=""),"",MID(UPPER(SUBSTITUTE('Start here'!$B$6," ","")),MOD(DATE(2027,3,3)-'Start here'!$B$5,LEN(UPPER(SUBSTITUTE('Start here'!$B$6," ",""))))+1,1))</f>
        <v/>
      </c>
      <c r="U7" s="22">
        <f>IF(OR('Start here'!$B$5="",UPPER(SUBSTITUTE('Start here'!$B$6," ",""))=""),"",MID(UPPER(SUBSTITUTE('Start here'!$B$6," ","")),MOD(DATE(2027,3,4)-'Start here'!$B$5,LEN(UPPER(SUBSTITUTE('Start here'!$B$6," ",""))))+1,1))</f>
        <v/>
      </c>
      <c r="V7" s="22">
        <f>IF(OR('Start here'!$B$5="",UPPER(SUBSTITUTE('Start here'!$B$6," ",""))=""),"",MID(UPPER(SUBSTITUTE('Start here'!$B$6," ","")),MOD(DATE(2027,3,5)-'Start here'!$B$5,LEN(UPPER(SUBSTITUTE('Start here'!$B$6," ",""))))+1,1))</f>
        <v/>
      </c>
      <c r="W7" s="22">
        <f>IF(OR('Start here'!$B$5="",UPPER(SUBSTITUTE('Start here'!$B$6," ",""))=""),"",MID(UPPER(SUBSTITUTE('Start here'!$B$6," ","")),MOD(DATE(2027,3,6)-'Start here'!$B$5,LEN(UPPER(SUBSTITUTE('Start here'!$B$6," ",""))))+1,1))</f>
        <v/>
      </c>
    </row>
    <row r="8">
      <c r="A8" s="20" t="n">
        <v>3</v>
      </c>
      <c r="B8" s="20" t="n">
        <v>4</v>
      </c>
      <c r="C8" s="20" t="n">
        <v>5</v>
      </c>
      <c r="D8" s="20" t="n">
        <v>6</v>
      </c>
      <c r="E8" s="20" t="n">
        <v>7</v>
      </c>
      <c r="F8" s="20" t="n">
        <v>8</v>
      </c>
      <c r="G8" s="20" t="n">
        <v>9</v>
      </c>
      <c r="I8" s="20" t="n">
        <v>7</v>
      </c>
      <c r="J8" s="20" t="n">
        <v>8</v>
      </c>
      <c r="K8" s="20" t="n">
        <v>9</v>
      </c>
      <c r="L8" s="20" t="n">
        <v>10</v>
      </c>
      <c r="M8" s="20" t="n">
        <v>11</v>
      </c>
      <c r="N8" s="20" t="n">
        <v>12</v>
      </c>
      <c r="O8" s="20" t="n">
        <v>13</v>
      </c>
      <c r="Q8" s="20" t="n">
        <v>7</v>
      </c>
      <c r="R8" s="20" t="n">
        <v>8</v>
      </c>
      <c r="S8" s="20" t="n">
        <v>9</v>
      </c>
      <c r="T8" s="20" t="n">
        <v>10</v>
      </c>
      <c r="U8" s="20" t="n">
        <v>11</v>
      </c>
      <c r="V8" s="20" t="n">
        <v>12</v>
      </c>
      <c r="W8" s="20" t="n">
        <v>13</v>
      </c>
    </row>
    <row r="9">
      <c r="A9" s="22">
        <f>IF(OR('Start here'!$B$5="",UPPER(SUBSTITUTE('Start here'!$B$6," ",""))=""),"",MID(UPPER(SUBSTITUTE('Start here'!$B$6," ","")),MOD(DATE(2027,1,3)-'Start here'!$B$5,LEN(UPPER(SUBSTITUTE('Start here'!$B$6," ",""))))+1,1))</f>
        <v/>
      </c>
      <c r="B9" s="22">
        <f>IF(OR('Start here'!$B$5="",UPPER(SUBSTITUTE('Start here'!$B$6," ",""))=""),"",MID(UPPER(SUBSTITUTE('Start here'!$B$6," ","")),MOD(DATE(2027,1,4)-'Start here'!$B$5,LEN(UPPER(SUBSTITUTE('Start here'!$B$6," ",""))))+1,1))</f>
        <v/>
      </c>
      <c r="C9" s="22">
        <f>IF(OR('Start here'!$B$5="",UPPER(SUBSTITUTE('Start here'!$B$6," ",""))=""),"",MID(UPPER(SUBSTITUTE('Start here'!$B$6," ","")),MOD(DATE(2027,1,5)-'Start here'!$B$5,LEN(UPPER(SUBSTITUTE('Start here'!$B$6," ",""))))+1,1))</f>
        <v/>
      </c>
      <c r="D9" s="22">
        <f>IF(OR('Start here'!$B$5="",UPPER(SUBSTITUTE('Start here'!$B$6," ",""))=""),"",MID(UPPER(SUBSTITUTE('Start here'!$B$6," ","")),MOD(DATE(2027,1,6)-'Start here'!$B$5,LEN(UPPER(SUBSTITUTE('Start here'!$B$6," ",""))))+1,1))</f>
        <v/>
      </c>
      <c r="E9" s="22">
        <f>IF(OR('Start here'!$B$5="",UPPER(SUBSTITUTE('Start here'!$B$6," ",""))=""),"",MID(UPPER(SUBSTITUTE('Start here'!$B$6," ","")),MOD(DATE(2027,1,7)-'Start here'!$B$5,LEN(UPPER(SUBSTITUTE('Start here'!$B$6," ",""))))+1,1))</f>
        <v/>
      </c>
      <c r="F9" s="22">
        <f>IF(OR('Start here'!$B$5="",UPPER(SUBSTITUTE('Start here'!$B$6," ",""))=""),"",MID(UPPER(SUBSTITUTE('Start here'!$B$6," ","")),MOD(DATE(2027,1,8)-'Start here'!$B$5,LEN(UPPER(SUBSTITUTE('Start here'!$B$6," ",""))))+1,1))</f>
        <v/>
      </c>
      <c r="G9" s="22">
        <f>IF(OR('Start here'!$B$5="",UPPER(SUBSTITUTE('Start here'!$B$6," ",""))=""),"",MID(UPPER(SUBSTITUTE('Start here'!$B$6," ","")),MOD(DATE(2027,1,9)-'Start here'!$B$5,LEN(UPPER(SUBSTITUTE('Start here'!$B$6," ",""))))+1,1))</f>
        <v/>
      </c>
      <c r="I9" s="22">
        <f>IF(OR('Start here'!$B$5="",UPPER(SUBSTITUTE('Start here'!$B$6," ",""))=""),"",MID(UPPER(SUBSTITUTE('Start here'!$B$6," ","")),MOD(DATE(2027,2,7)-'Start here'!$B$5,LEN(UPPER(SUBSTITUTE('Start here'!$B$6," ",""))))+1,1))</f>
        <v/>
      </c>
      <c r="J9" s="22">
        <f>IF(OR('Start here'!$B$5="",UPPER(SUBSTITUTE('Start here'!$B$6," ",""))=""),"",MID(UPPER(SUBSTITUTE('Start here'!$B$6," ","")),MOD(DATE(2027,2,8)-'Start here'!$B$5,LEN(UPPER(SUBSTITUTE('Start here'!$B$6," ",""))))+1,1))</f>
        <v/>
      </c>
      <c r="K9" s="22">
        <f>IF(OR('Start here'!$B$5="",UPPER(SUBSTITUTE('Start here'!$B$6," ",""))=""),"",MID(UPPER(SUBSTITUTE('Start here'!$B$6," ","")),MOD(DATE(2027,2,9)-'Start here'!$B$5,LEN(UPPER(SUBSTITUTE('Start here'!$B$6," ",""))))+1,1))</f>
        <v/>
      </c>
      <c r="L9" s="22">
        <f>IF(OR('Start here'!$B$5="",UPPER(SUBSTITUTE('Start here'!$B$6," ",""))=""),"",MID(UPPER(SUBSTITUTE('Start here'!$B$6," ","")),MOD(DATE(2027,2,10)-'Start here'!$B$5,LEN(UPPER(SUBSTITUTE('Start here'!$B$6," ",""))))+1,1))</f>
        <v/>
      </c>
      <c r="M9" s="22">
        <f>IF(OR('Start here'!$B$5="",UPPER(SUBSTITUTE('Start here'!$B$6," ",""))=""),"",MID(UPPER(SUBSTITUTE('Start here'!$B$6," ","")),MOD(DATE(2027,2,11)-'Start here'!$B$5,LEN(UPPER(SUBSTITUTE('Start here'!$B$6," ",""))))+1,1))</f>
        <v/>
      </c>
      <c r="N9" s="22">
        <f>IF(OR('Start here'!$B$5="",UPPER(SUBSTITUTE('Start here'!$B$6," ",""))=""),"",MID(UPPER(SUBSTITUTE('Start here'!$B$6," ","")),MOD(DATE(2027,2,12)-'Start here'!$B$5,LEN(UPPER(SUBSTITUTE('Start here'!$B$6," ",""))))+1,1))</f>
        <v/>
      </c>
      <c r="O9" s="22">
        <f>IF(OR('Start here'!$B$5="",UPPER(SUBSTITUTE('Start here'!$B$6," ",""))=""),"",MID(UPPER(SUBSTITUTE('Start here'!$B$6," ","")),MOD(DATE(2027,2,13)-'Start here'!$B$5,LEN(UPPER(SUBSTITUTE('Start here'!$B$6," ",""))))+1,1))</f>
        <v/>
      </c>
      <c r="Q9" s="22">
        <f>IF(OR('Start here'!$B$5="",UPPER(SUBSTITUTE('Start here'!$B$6," ",""))=""),"",MID(UPPER(SUBSTITUTE('Start here'!$B$6," ","")),MOD(DATE(2027,3,7)-'Start here'!$B$5,LEN(UPPER(SUBSTITUTE('Start here'!$B$6," ",""))))+1,1))</f>
        <v/>
      </c>
      <c r="R9" s="22">
        <f>IF(OR('Start here'!$B$5="",UPPER(SUBSTITUTE('Start here'!$B$6," ",""))=""),"",MID(UPPER(SUBSTITUTE('Start here'!$B$6," ","")),MOD(DATE(2027,3,8)-'Start here'!$B$5,LEN(UPPER(SUBSTITUTE('Start here'!$B$6," ",""))))+1,1))</f>
        <v/>
      </c>
      <c r="S9" s="22">
        <f>IF(OR('Start here'!$B$5="",UPPER(SUBSTITUTE('Start here'!$B$6," ",""))=""),"",MID(UPPER(SUBSTITUTE('Start here'!$B$6," ","")),MOD(DATE(2027,3,9)-'Start here'!$B$5,LEN(UPPER(SUBSTITUTE('Start here'!$B$6," ",""))))+1,1))</f>
        <v/>
      </c>
      <c r="T9" s="22">
        <f>IF(OR('Start here'!$B$5="",UPPER(SUBSTITUTE('Start here'!$B$6," ",""))=""),"",MID(UPPER(SUBSTITUTE('Start here'!$B$6," ","")),MOD(DATE(2027,3,10)-'Start here'!$B$5,LEN(UPPER(SUBSTITUTE('Start here'!$B$6," ",""))))+1,1))</f>
        <v/>
      </c>
      <c r="U9" s="22">
        <f>IF(OR('Start here'!$B$5="",UPPER(SUBSTITUTE('Start here'!$B$6," ",""))=""),"",MID(UPPER(SUBSTITUTE('Start here'!$B$6," ","")),MOD(DATE(2027,3,11)-'Start here'!$B$5,LEN(UPPER(SUBSTITUTE('Start here'!$B$6," ",""))))+1,1))</f>
        <v/>
      </c>
      <c r="V9" s="22">
        <f>IF(OR('Start here'!$B$5="",UPPER(SUBSTITUTE('Start here'!$B$6," ",""))=""),"",MID(UPPER(SUBSTITUTE('Start here'!$B$6," ","")),MOD(DATE(2027,3,12)-'Start here'!$B$5,LEN(UPPER(SUBSTITUTE('Start here'!$B$6," ",""))))+1,1))</f>
        <v/>
      </c>
      <c r="W9" s="22">
        <f>IF(OR('Start here'!$B$5="",UPPER(SUBSTITUTE('Start here'!$B$6," ",""))=""),"",MID(UPPER(SUBSTITUTE('Start here'!$B$6," ","")),MOD(DATE(2027,3,13)-'Start here'!$B$5,LEN(UPPER(SUBSTITUTE('Start here'!$B$6," ",""))))+1,1))</f>
        <v/>
      </c>
    </row>
    <row r="10">
      <c r="A10" s="20" t="n">
        <v>10</v>
      </c>
      <c r="B10" s="20" t="n">
        <v>11</v>
      </c>
      <c r="C10" s="20" t="n">
        <v>12</v>
      </c>
      <c r="D10" s="20" t="n">
        <v>13</v>
      </c>
      <c r="E10" s="20" t="n">
        <v>14</v>
      </c>
      <c r="F10" s="20" t="n">
        <v>15</v>
      </c>
      <c r="G10" s="20" t="n">
        <v>16</v>
      </c>
      <c r="I10" s="20" t="n">
        <v>14</v>
      </c>
      <c r="J10" s="20" t="n">
        <v>15</v>
      </c>
      <c r="K10" s="20" t="n">
        <v>16</v>
      </c>
      <c r="L10" s="20" t="n">
        <v>17</v>
      </c>
      <c r="M10" s="20" t="n">
        <v>18</v>
      </c>
      <c r="N10" s="20" t="n">
        <v>19</v>
      </c>
      <c r="O10" s="20" t="n">
        <v>20</v>
      </c>
      <c r="Q10" s="20" t="n">
        <v>14</v>
      </c>
      <c r="R10" s="20" t="n">
        <v>15</v>
      </c>
      <c r="S10" s="20" t="n">
        <v>16</v>
      </c>
      <c r="T10" s="20" t="n">
        <v>17</v>
      </c>
      <c r="U10" s="20" t="n">
        <v>18</v>
      </c>
      <c r="V10" s="20" t="n">
        <v>19</v>
      </c>
      <c r="W10" s="20" t="n">
        <v>20</v>
      </c>
    </row>
    <row r="11">
      <c r="A11" s="22">
        <f>IF(OR('Start here'!$B$5="",UPPER(SUBSTITUTE('Start here'!$B$6," ",""))=""),"",MID(UPPER(SUBSTITUTE('Start here'!$B$6," ","")),MOD(DATE(2027,1,10)-'Start here'!$B$5,LEN(UPPER(SUBSTITUTE('Start here'!$B$6," ",""))))+1,1))</f>
        <v/>
      </c>
      <c r="B11" s="22">
        <f>IF(OR('Start here'!$B$5="",UPPER(SUBSTITUTE('Start here'!$B$6," ",""))=""),"",MID(UPPER(SUBSTITUTE('Start here'!$B$6," ","")),MOD(DATE(2027,1,11)-'Start here'!$B$5,LEN(UPPER(SUBSTITUTE('Start here'!$B$6," ",""))))+1,1))</f>
        <v/>
      </c>
      <c r="C11" s="22">
        <f>IF(OR('Start here'!$B$5="",UPPER(SUBSTITUTE('Start here'!$B$6," ",""))=""),"",MID(UPPER(SUBSTITUTE('Start here'!$B$6," ","")),MOD(DATE(2027,1,12)-'Start here'!$B$5,LEN(UPPER(SUBSTITUTE('Start here'!$B$6," ",""))))+1,1))</f>
        <v/>
      </c>
      <c r="D11" s="22">
        <f>IF(OR('Start here'!$B$5="",UPPER(SUBSTITUTE('Start here'!$B$6," ",""))=""),"",MID(UPPER(SUBSTITUTE('Start here'!$B$6," ","")),MOD(DATE(2027,1,13)-'Start here'!$B$5,LEN(UPPER(SUBSTITUTE('Start here'!$B$6," ",""))))+1,1))</f>
        <v/>
      </c>
      <c r="E11" s="22">
        <f>IF(OR('Start here'!$B$5="",UPPER(SUBSTITUTE('Start here'!$B$6," ",""))=""),"",MID(UPPER(SUBSTITUTE('Start here'!$B$6," ","")),MOD(DATE(2027,1,14)-'Start here'!$B$5,LEN(UPPER(SUBSTITUTE('Start here'!$B$6," ",""))))+1,1))</f>
        <v/>
      </c>
      <c r="F11" s="22">
        <f>IF(OR('Start here'!$B$5="",UPPER(SUBSTITUTE('Start here'!$B$6," ",""))=""),"",MID(UPPER(SUBSTITUTE('Start here'!$B$6," ","")),MOD(DATE(2027,1,15)-'Start here'!$B$5,LEN(UPPER(SUBSTITUTE('Start here'!$B$6," ",""))))+1,1))</f>
        <v/>
      </c>
      <c r="G11" s="22">
        <f>IF(OR('Start here'!$B$5="",UPPER(SUBSTITUTE('Start here'!$B$6," ",""))=""),"",MID(UPPER(SUBSTITUTE('Start here'!$B$6," ","")),MOD(DATE(2027,1,16)-'Start here'!$B$5,LEN(UPPER(SUBSTITUTE('Start here'!$B$6," ",""))))+1,1))</f>
        <v/>
      </c>
      <c r="I11" s="22">
        <f>IF(OR('Start here'!$B$5="",UPPER(SUBSTITUTE('Start here'!$B$6," ",""))=""),"",MID(UPPER(SUBSTITUTE('Start here'!$B$6," ","")),MOD(DATE(2027,2,14)-'Start here'!$B$5,LEN(UPPER(SUBSTITUTE('Start here'!$B$6," ",""))))+1,1))</f>
        <v/>
      </c>
      <c r="J11" s="22">
        <f>IF(OR('Start here'!$B$5="",UPPER(SUBSTITUTE('Start here'!$B$6," ",""))=""),"",MID(UPPER(SUBSTITUTE('Start here'!$B$6," ","")),MOD(DATE(2027,2,15)-'Start here'!$B$5,LEN(UPPER(SUBSTITUTE('Start here'!$B$6," ",""))))+1,1))</f>
        <v/>
      </c>
      <c r="K11" s="22">
        <f>IF(OR('Start here'!$B$5="",UPPER(SUBSTITUTE('Start here'!$B$6," ",""))=""),"",MID(UPPER(SUBSTITUTE('Start here'!$B$6," ","")),MOD(DATE(2027,2,16)-'Start here'!$B$5,LEN(UPPER(SUBSTITUTE('Start here'!$B$6," ",""))))+1,1))</f>
        <v/>
      </c>
      <c r="L11" s="22">
        <f>IF(OR('Start here'!$B$5="",UPPER(SUBSTITUTE('Start here'!$B$6," ",""))=""),"",MID(UPPER(SUBSTITUTE('Start here'!$B$6," ","")),MOD(DATE(2027,2,17)-'Start here'!$B$5,LEN(UPPER(SUBSTITUTE('Start here'!$B$6," ",""))))+1,1))</f>
        <v/>
      </c>
      <c r="M11" s="22">
        <f>IF(OR('Start here'!$B$5="",UPPER(SUBSTITUTE('Start here'!$B$6," ",""))=""),"",MID(UPPER(SUBSTITUTE('Start here'!$B$6," ","")),MOD(DATE(2027,2,18)-'Start here'!$B$5,LEN(UPPER(SUBSTITUTE('Start here'!$B$6," ",""))))+1,1))</f>
        <v/>
      </c>
      <c r="N11" s="22">
        <f>IF(OR('Start here'!$B$5="",UPPER(SUBSTITUTE('Start here'!$B$6," ",""))=""),"",MID(UPPER(SUBSTITUTE('Start here'!$B$6," ","")),MOD(DATE(2027,2,19)-'Start here'!$B$5,LEN(UPPER(SUBSTITUTE('Start here'!$B$6," ",""))))+1,1))</f>
        <v/>
      </c>
      <c r="O11" s="22">
        <f>IF(OR('Start here'!$B$5="",UPPER(SUBSTITUTE('Start here'!$B$6," ",""))=""),"",MID(UPPER(SUBSTITUTE('Start here'!$B$6," ","")),MOD(DATE(2027,2,20)-'Start here'!$B$5,LEN(UPPER(SUBSTITUTE('Start here'!$B$6," ",""))))+1,1))</f>
        <v/>
      </c>
      <c r="Q11" s="22">
        <f>IF(OR('Start here'!$B$5="",UPPER(SUBSTITUTE('Start here'!$B$6," ",""))=""),"",MID(UPPER(SUBSTITUTE('Start here'!$B$6," ","")),MOD(DATE(2027,3,14)-'Start here'!$B$5,LEN(UPPER(SUBSTITUTE('Start here'!$B$6," ",""))))+1,1))</f>
        <v/>
      </c>
      <c r="R11" s="22">
        <f>IF(OR('Start here'!$B$5="",UPPER(SUBSTITUTE('Start here'!$B$6," ",""))=""),"",MID(UPPER(SUBSTITUTE('Start here'!$B$6," ","")),MOD(DATE(2027,3,15)-'Start here'!$B$5,LEN(UPPER(SUBSTITUTE('Start here'!$B$6," ",""))))+1,1))</f>
        <v/>
      </c>
      <c r="S11" s="22">
        <f>IF(OR('Start here'!$B$5="",UPPER(SUBSTITUTE('Start here'!$B$6," ",""))=""),"",MID(UPPER(SUBSTITUTE('Start here'!$B$6," ","")),MOD(DATE(2027,3,16)-'Start here'!$B$5,LEN(UPPER(SUBSTITUTE('Start here'!$B$6," ",""))))+1,1))</f>
        <v/>
      </c>
      <c r="T11" s="22">
        <f>IF(OR('Start here'!$B$5="",UPPER(SUBSTITUTE('Start here'!$B$6," ",""))=""),"",MID(UPPER(SUBSTITUTE('Start here'!$B$6," ","")),MOD(DATE(2027,3,17)-'Start here'!$B$5,LEN(UPPER(SUBSTITUTE('Start here'!$B$6," ",""))))+1,1))</f>
        <v/>
      </c>
      <c r="U11" s="22">
        <f>IF(OR('Start here'!$B$5="",UPPER(SUBSTITUTE('Start here'!$B$6," ",""))=""),"",MID(UPPER(SUBSTITUTE('Start here'!$B$6," ","")),MOD(DATE(2027,3,18)-'Start here'!$B$5,LEN(UPPER(SUBSTITUTE('Start here'!$B$6," ",""))))+1,1))</f>
        <v/>
      </c>
      <c r="V11" s="22">
        <f>IF(OR('Start here'!$B$5="",UPPER(SUBSTITUTE('Start here'!$B$6," ",""))=""),"",MID(UPPER(SUBSTITUTE('Start here'!$B$6," ","")),MOD(DATE(2027,3,19)-'Start here'!$B$5,LEN(UPPER(SUBSTITUTE('Start here'!$B$6," ",""))))+1,1))</f>
        <v/>
      </c>
      <c r="W11" s="22">
        <f>IF(OR('Start here'!$B$5="",UPPER(SUBSTITUTE('Start here'!$B$6," ",""))=""),"",MID(UPPER(SUBSTITUTE('Start here'!$B$6," ","")),MOD(DATE(2027,3,20)-'Start here'!$B$5,LEN(UPPER(SUBSTITUTE('Start here'!$B$6," ",""))))+1,1))</f>
        <v/>
      </c>
    </row>
    <row r="12">
      <c r="A12" s="20" t="n">
        <v>17</v>
      </c>
      <c r="B12" s="20" t="n">
        <v>18</v>
      </c>
      <c r="C12" s="20" t="n">
        <v>19</v>
      </c>
      <c r="D12" s="20" t="n">
        <v>20</v>
      </c>
      <c r="E12" s="20" t="n">
        <v>21</v>
      </c>
      <c r="F12" s="20" t="n">
        <v>22</v>
      </c>
      <c r="G12" s="20" t="n">
        <v>23</v>
      </c>
      <c r="I12" s="20" t="n">
        <v>21</v>
      </c>
      <c r="J12" s="20" t="n">
        <v>22</v>
      </c>
      <c r="K12" s="20" t="n">
        <v>23</v>
      </c>
      <c r="L12" s="20" t="n">
        <v>24</v>
      </c>
      <c r="M12" s="20" t="n">
        <v>25</v>
      </c>
      <c r="N12" s="20" t="n">
        <v>26</v>
      </c>
      <c r="O12" s="20" t="n">
        <v>27</v>
      </c>
      <c r="Q12" s="20" t="n">
        <v>21</v>
      </c>
      <c r="R12" s="20" t="n">
        <v>22</v>
      </c>
      <c r="S12" s="20" t="n">
        <v>23</v>
      </c>
      <c r="T12" s="20" t="n">
        <v>24</v>
      </c>
      <c r="U12" s="20" t="n">
        <v>25</v>
      </c>
      <c r="V12" s="20" t="n">
        <v>26</v>
      </c>
      <c r="W12" s="20" t="n">
        <v>27</v>
      </c>
    </row>
    <row r="13">
      <c r="A13" s="22">
        <f>IF(OR('Start here'!$B$5="",UPPER(SUBSTITUTE('Start here'!$B$6," ",""))=""),"",MID(UPPER(SUBSTITUTE('Start here'!$B$6," ","")),MOD(DATE(2027,1,17)-'Start here'!$B$5,LEN(UPPER(SUBSTITUTE('Start here'!$B$6," ",""))))+1,1))</f>
        <v/>
      </c>
      <c r="B13" s="22">
        <f>IF(OR('Start here'!$B$5="",UPPER(SUBSTITUTE('Start here'!$B$6," ",""))=""),"",MID(UPPER(SUBSTITUTE('Start here'!$B$6," ","")),MOD(DATE(2027,1,18)-'Start here'!$B$5,LEN(UPPER(SUBSTITUTE('Start here'!$B$6," ",""))))+1,1))</f>
        <v/>
      </c>
      <c r="C13" s="22">
        <f>IF(OR('Start here'!$B$5="",UPPER(SUBSTITUTE('Start here'!$B$6," ",""))=""),"",MID(UPPER(SUBSTITUTE('Start here'!$B$6," ","")),MOD(DATE(2027,1,19)-'Start here'!$B$5,LEN(UPPER(SUBSTITUTE('Start here'!$B$6," ",""))))+1,1))</f>
        <v/>
      </c>
      <c r="D13" s="22">
        <f>IF(OR('Start here'!$B$5="",UPPER(SUBSTITUTE('Start here'!$B$6," ",""))=""),"",MID(UPPER(SUBSTITUTE('Start here'!$B$6," ","")),MOD(DATE(2027,1,20)-'Start here'!$B$5,LEN(UPPER(SUBSTITUTE('Start here'!$B$6," ",""))))+1,1))</f>
        <v/>
      </c>
      <c r="E13" s="22">
        <f>IF(OR('Start here'!$B$5="",UPPER(SUBSTITUTE('Start here'!$B$6," ",""))=""),"",MID(UPPER(SUBSTITUTE('Start here'!$B$6," ","")),MOD(DATE(2027,1,21)-'Start here'!$B$5,LEN(UPPER(SUBSTITUTE('Start here'!$B$6," ",""))))+1,1))</f>
        <v/>
      </c>
      <c r="F13" s="22">
        <f>IF(OR('Start here'!$B$5="",UPPER(SUBSTITUTE('Start here'!$B$6," ",""))=""),"",MID(UPPER(SUBSTITUTE('Start here'!$B$6," ","")),MOD(DATE(2027,1,22)-'Start here'!$B$5,LEN(UPPER(SUBSTITUTE('Start here'!$B$6," ",""))))+1,1))</f>
        <v/>
      </c>
      <c r="G13" s="22">
        <f>IF(OR('Start here'!$B$5="",UPPER(SUBSTITUTE('Start here'!$B$6," ",""))=""),"",MID(UPPER(SUBSTITUTE('Start here'!$B$6," ","")),MOD(DATE(2027,1,23)-'Start here'!$B$5,LEN(UPPER(SUBSTITUTE('Start here'!$B$6," ",""))))+1,1))</f>
        <v/>
      </c>
      <c r="I13" s="22">
        <f>IF(OR('Start here'!$B$5="",UPPER(SUBSTITUTE('Start here'!$B$6," ",""))=""),"",MID(UPPER(SUBSTITUTE('Start here'!$B$6," ","")),MOD(DATE(2027,2,21)-'Start here'!$B$5,LEN(UPPER(SUBSTITUTE('Start here'!$B$6," ",""))))+1,1))</f>
        <v/>
      </c>
      <c r="J13" s="22">
        <f>IF(OR('Start here'!$B$5="",UPPER(SUBSTITUTE('Start here'!$B$6," ",""))=""),"",MID(UPPER(SUBSTITUTE('Start here'!$B$6," ","")),MOD(DATE(2027,2,22)-'Start here'!$B$5,LEN(UPPER(SUBSTITUTE('Start here'!$B$6," ",""))))+1,1))</f>
        <v/>
      </c>
      <c r="K13" s="22">
        <f>IF(OR('Start here'!$B$5="",UPPER(SUBSTITUTE('Start here'!$B$6," ",""))=""),"",MID(UPPER(SUBSTITUTE('Start here'!$B$6," ","")),MOD(DATE(2027,2,23)-'Start here'!$B$5,LEN(UPPER(SUBSTITUTE('Start here'!$B$6," ",""))))+1,1))</f>
        <v/>
      </c>
      <c r="L13" s="22">
        <f>IF(OR('Start here'!$B$5="",UPPER(SUBSTITUTE('Start here'!$B$6," ",""))=""),"",MID(UPPER(SUBSTITUTE('Start here'!$B$6," ","")),MOD(DATE(2027,2,24)-'Start here'!$B$5,LEN(UPPER(SUBSTITUTE('Start here'!$B$6," ",""))))+1,1))</f>
        <v/>
      </c>
      <c r="M13" s="22">
        <f>IF(OR('Start here'!$B$5="",UPPER(SUBSTITUTE('Start here'!$B$6," ",""))=""),"",MID(UPPER(SUBSTITUTE('Start here'!$B$6," ","")),MOD(DATE(2027,2,25)-'Start here'!$B$5,LEN(UPPER(SUBSTITUTE('Start here'!$B$6," ",""))))+1,1))</f>
        <v/>
      </c>
      <c r="N13" s="22">
        <f>IF(OR('Start here'!$B$5="",UPPER(SUBSTITUTE('Start here'!$B$6," ",""))=""),"",MID(UPPER(SUBSTITUTE('Start here'!$B$6," ","")),MOD(DATE(2027,2,26)-'Start here'!$B$5,LEN(UPPER(SUBSTITUTE('Start here'!$B$6," ",""))))+1,1))</f>
        <v/>
      </c>
      <c r="O13" s="22">
        <f>IF(OR('Start here'!$B$5="",UPPER(SUBSTITUTE('Start here'!$B$6," ",""))=""),"",MID(UPPER(SUBSTITUTE('Start here'!$B$6," ","")),MOD(DATE(2027,2,27)-'Start here'!$B$5,LEN(UPPER(SUBSTITUTE('Start here'!$B$6," ",""))))+1,1))</f>
        <v/>
      </c>
      <c r="Q13" s="22">
        <f>IF(OR('Start here'!$B$5="",UPPER(SUBSTITUTE('Start here'!$B$6," ",""))=""),"",MID(UPPER(SUBSTITUTE('Start here'!$B$6," ","")),MOD(DATE(2027,3,21)-'Start here'!$B$5,LEN(UPPER(SUBSTITUTE('Start here'!$B$6," ",""))))+1,1))</f>
        <v/>
      </c>
      <c r="R13" s="22">
        <f>IF(OR('Start here'!$B$5="",UPPER(SUBSTITUTE('Start here'!$B$6," ",""))=""),"",MID(UPPER(SUBSTITUTE('Start here'!$B$6," ","")),MOD(DATE(2027,3,22)-'Start here'!$B$5,LEN(UPPER(SUBSTITUTE('Start here'!$B$6," ",""))))+1,1))</f>
        <v/>
      </c>
      <c r="S13" s="22">
        <f>IF(OR('Start here'!$B$5="",UPPER(SUBSTITUTE('Start here'!$B$6," ",""))=""),"",MID(UPPER(SUBSTITUTE('Start here'!$B$6," ","")),MOD(DATE(2027,3,23)-'Start here'!$B$5,LEN(UPPER(SUBSTITUTE('Start here'!$B$6," ",""))))+1,1))</f>
        <v/>
      </c>
      <c r="T13" s="22">
        <f>IF(OR('Start here'!$B$5="",UPPER(SUBSTITUTE('Start here'!$B$6," ",""))=""),"",MID(UPPER(SUBSTITUTE('Start here'!$B$6," ","")),MOD(DATE(2027,3,24)-'Start here'!$B$5,LEN(UPPER(SUBSTITUTE('Start here'!$B$6," ",""))))+1,1))</f>
        <v/>
      </c>
      <c r="U13" s="22">
        <f>IF(OR('Start here'!$B$5="",UPPER(SUBSTITUTE('Start here'!$B$6," ",""))=""),"",MID(UPPER(SUBSTITUTE('Start here'!$B$6," ","")),MOD(DATE(2027,3,25)-'Start here'!$B$5,LEN(UPPER(SUBSTITUTE('Start here'!$B$6," ",""))))+1,1))</f>
        <v/>
      </c>
      <c r="V13" s="22">
        <f>IF(OR('Start here'!$B$5="",UPPER(SUBSTITUTE('Start here'!$B$6," ",""))=""),"",MID(UPPER(SUBSTITUTE('Start here'!$B$6," ","")),MOD(DATE(2027,3,26)-'Start here'!$B$5,LEN(UPPER(SUBSTITUTE('Start here'!$B$6," ",""))))+1,1))</f>
        <v/>
      </c>
      <c r="W13" s="22">
        <f>IF(OR('Start here'!$B$5="",UPPER(SUBSTITUTE('Start here'!$B$6," ",""))=""),"",MID(UPPER(SUBSTITUTE('Start here'!$B$6," ","")),MOD(DATE(2027,3,27)-'Start here'!$B$5,LEN(UPPER(SUBSTITUTE('Start here'!$B$6," ",""))))+1,1))</f>
        <v/>
      </c>
    </row>
    <row r="14">
      <c r="A14" s="20" t="n">
        <v>24</v>
      </c>
      <c r="B14" s="20" t="n">
        <v>25</v>
      </c>
      <c r="C14" s="20" t="n">
        <v>26</v>
      </c>
      <c r="D14" s="20" t="n">
        <v>27</v>
      </c>
      <c r="E14" s="20" t="n">
        <v>28</v>
      </c>
      <c r="F14" s="20" t="n">
        <v>29</v>
      </c>
      <c r="G14" s="20" t="n">
        <v>30</v>
      </c>
      <c r="I14" s="20" t="n">
        <v>28</v>
      </c>
      <c r="J14" s="19" t="n"/>
      <c r="K14" s="19" t="n"/>
      <c r="L14" s="19" t="n"/>
      <c r="M14" s="19" t="n"/>
      <c r="N14" s="19" t="n"/>
      <c r="O14" s="19" t="n"/>
      <c r="Q14" s="20" t="n">
        <v>28</v>
      </c>
      <c r="R14" s="20" t="n">
        <v>29</v>
      </c>
      <c r="S14" s="20" t="n">
        <v>30</v>
      </c>
      <c r="T14" s="20" t="n">
        <v>31</v>
      </c>
      <c r="U14" s="19" t="n"/>
      <c r="V14" s="19" t="n"/>
      <c r="W14" s="19" t="n"/>
    </row>
    <row r="15">
      <c r="A15" s="22">
        <f>IF(OR('Start here'!$B$5="",UPPER(SUBSTITUTE('Start here'!$B$6," ",""))=""),"",MID(UPPER(SUBSTITUTE('Start here'!$B$6," ","")),MOD(DATE(2027,1,24)-'Start here'!$B$5,LEN(UPPER(SUBSTITUTE('Start here'!$B$6," ",""))))+1,1))</f>
        <v/>
      </c>
      <c r="B15" s="22">
        <f>IF(OR('Start here'!$B$5="",UPPER(SUBSTITUTE('Start here'!$B$6," ",""))=""),"",MID(UPPER(SUBSTITUTE('Start here'!$B$6," ","")),MOD(DATE(2027,1,25)-'Start here'!$B$5,LEN(UPPER(SUBSTITUTE('Start here'!$B$6," ",""))))+1,1))</f>
        <v/>
      </c>
      <c r="C15" s="22">
        <f>IF(OR('Start here'!$B$5="",UPPER(SUBSTITUTE('Start here'!$B$6," ",""))=""),"",MID(UPPER(SUBSTITUTE('Start here'!$B$6," ","")),MOD(DATE(2027,1,26)-'Start here'!$B$5,LEN(UPPER(SUBSTITUTE('Start here'!$B$6," ",""))))+1,1))</f>
        <v/>
      </c>
      <c r="D15" s="22">
        <f>IF(OR('Start here'!$B$5="",UPPER(SUBSTITUTE('Start here'!$B$6," ",""))=""),"",MID(UPPER(SUBSTITUTE('Start here'!$B$6," ","")),MOD(DATE(2027,1,27)-'Start here'!$B$5,LEN(UPPER(SUBSTITUTE('Start here'!$B$6," ",""))))+1,1))</f>
        <v/>
      </c>
      <c r="E15" s="22">
        <f>IF(OR('Start here'!$B$5="",UPPER(SUBSTITUTE('Start here'!$B$6," ",""))=""),"",MID(UPPER(SUBSTITUTE('Start here'!$B$6," ","")),MOD(DATE(2027,1,28)-'Start here'!$B$5,LEN(UPPER(SUBSTITUTE('Start here'!$B$6," ",""))))+1,1))</f>
        <v/>
      </c>
      <c r="F15" s="22">
        <f>IF(OR('Start here'!$B$5="",UPPER(SUBSTITUTE('Start here'!$B$6," ",""))=""),"",MID(UPPER(SUBSTITUTE('Start here'!$B$6," ","")),MOD(DATE(2027,1,29)-'Start here'!$B$5,LEN(UPPER(SUBSTITUTE('Start here'!$B$6," ",""))))+1,1))</f>
        <v/>
      </c>
      <c r="G15" s="22">
        <f>IF(OR('Start here'!$B$5="",UPPER(SUBSTITUTE('Start here'!$B$6," ",""))=""),"",MID(UPPER(SUBSTITUTE('Start here'!$B$6," ","")),MOD(DATE(2027,1,30)-'Start here'!$B$5,LEN(UPPER(SUBSTITUTE('Start here'!$B$6," ",""))))+1,1))</f>
        <v/>
      </c>
      <c r="I15" s="22">
        <f>IF(OR('Start here'!$B$5="",UPPER(SUBSTITUTE('Start here'!$B$6," ",""))=""),"",MID(UPPER(SUBSTITUTE('Start here'!$B$6," ","")),MOD(DATE(2027,2,28)-'Start here'!$B$5,LEN(UPPER(SUBSTITUTE('Start here'!$B$6," ",""))))+1,1))</f>
        <v/>
      </c>
      <c r="J15" s="21" t="n"/>
      <c r="K15" s="21" t="n"/>
      <c r="L15" s="21" t="n"/>
      <c r="M15" s="21" t="n"/>
      <c r="N15" s="21" t="n"/>
      <c r="O15" s="21" t="n"/>
      <c r="Q15" s="22">
        <f>IF(OR('Start here'!$B$5="",UPPER(SUBSTITUTE('Start here'!$B$6," ",""))=""),"",MID(UPPER(SUBSTITUTE('Start here'!$B$6," ","")),MOD(DATE(2027,3,28)-'Start here'!$B$5,LEN(UPPER(SUBSTITUTE('Start here'!$B$6," ",""))))+1,1))</f>
        <v/>
      </c>
      <c r="R15" s="22">
        <f>IF(OR('Start here'!$B$5="",UPPER(SUBSTITUTE('Start here'!$B$6," ",""))=""),"",MID(UPPER(SUBSTITUTE('Start here'!$B$6," ","")),MOD(DATE(2027,3,29)-'Start here'!$B$5,LEN(UPPER(SUBSTITUTE('Start here'!$B$6," ",""))))+1,1))</f>
        <v/>
      </c>
      <c r="S15" s="22">
        <f>IF(OR('Start here'!$B$5="",UPPER(SUBSTITUTE('Start here'!$B$6," ",""))=""),"",MID(UPPER(SUBSTITUTE('Start here'!$B$6," ","")),MOD(DATE(2027,3,30)-'Start here'!$B$5,LEN(UPPER(SUBSTITUTE('Start here'!$B$6," ",""))))+1,1))</f>
        <v/>
      </c>
      <c r="T15" s="22">
        <f>IF(OR('Start here'!$B$5="",UPPER(SUBSTITUTE('Start here'!$B$6," ",""))=""),"",MID(UPPER(SUBSTITUTE('Start here'!$B$6," ","")),MOD(DATE(2027,3,31)-'Start here'!$B$5,LEN(UPPER(SUBSTITUTE('Start here'!$B$6," ",""))))+1,1))</f>
        <v/>
      </c>
      <c r="U15" s="21" t="n"/>
      <c r="V15" s="21" t="n"/>
      <c r="W15" s="21" t="n"/>
    </row>
    <row r="16">
      <c r="A16" s="20" t="n">
        <v>31</v>
      </c>
      <c r="B16" s="19" t="n"/>
      <c r="C16" s="19" t="n"/>
      <c r="D16" s="19" t="n"/>
      <c r="E16" s="19" t="n"/>
      <c r="F16" s="19" t="n"/>
      <c r="G16" s="19" t="n"/>
      <c r="I16" s="19" t="n"/>
      <c r="J16" s="19" t="n"/>
      <c r="K16" s="19" t="n"/>
      <c r="L16" s="19" t="n"/>
      <c r="M16" s="19" t="n"/>
      <c r="N16" s="19" t="n"/>
      <c r="O16" s="19" t="n"/>
      <c r="Q16" s="19" t="n"/>
      <c r="R16" s="19" t="n"/>
      <c r="S16" s="19" t="n"/>
      <c r="T16" s="19" t="n"/>
      <c r="U16" s="19" t="n"/>
      <c r="V16" s="19" t="n"/>
      <c r="W16" s="19" t="n"/>
    </row>
    <row r="17">
      <c r="A17" s="22">
        <f>IF(OR('Start here'!$B$5="",UPPER(SUBSTITUTE('Start here'!$B$6," ",""))=""),"",MID(UPPER(SUBSTITUTE('Start here'!$B$6," ","")),MOD(DATE(2027,1,31)-'Start here'!$B$5,LEN(UPPER(SUBSTITUTE('Start here'!$B$6," ",""))))+1,1))</f>
        <v/>
      </c>
      <c r="B17" s="21" t="n"/>
      <c r="C17" s="21" t="n"/>
      <c r="D17" s="21" t="n"/>
      <c r="E17" s="21" t="n"/>
      <c r="F17" s="21" t="n"/>
      <c r="G17" s="21" t="n"/>
      <c r="I17" s="21" t="n"/>
      <c r="J17" s="21" t="n"/>
      <c r="K17" s="21" t="n"/>
      <c r="L17" s="21" t="n"/>
      <c r="M17" s="21" t="n"/>
      <c r="N17" s="21" t="n"/>
      <c r="O17" s="21" t="n"/>
      <c r="Q17" s="21" t="n"/>
      <c r="R17" s="21" t="n"/>
      <c r="S17" s="21" t="n"/>
      <c r="T17" s="21" t="n"/>
      <c r="U17" s="21" t="n"/>
      <c r="V17" s="21" t="n"/>
      <c r="W17" s="21" t="n"/>
    </row>
    <row r="18">
      <c r="A18" s="23" t="inlineStr">
        <is>
          <t>Nights A</t>
        </is>
      </c>
      <c r="C18" s="24">
        <f>COUNTIF(A7:G17,"A")</f>
        <v/>
      </c>
      <c r="E18" s="23" t="inlineStr">
        <is>
          <t>B</t>
        </is>
      </c>
      <c r="F18" s="24">
        <f>COUNTIF(A7:G17,"B")</f>
        <v/>
      </c>
      <c r="I18" s="23" t="inlineStr">
        <is>
          <t>Nights A</t>
        </is>
      </c>
      <c r="K18" s="24">
        <f>COUNTIF(I7:O17,"A")</f>
        <v/>
      </c>
      <c r="M18" s="23" t="inlineStr">
        <is>
          <t>B</t>
        </is>
      </c>
      <c r="N18" s="24">
        <f>COUNTIF(I7:O17,"B")</f>
        <v/>
      </c>
      <c r="Q18" s="23" t="inlineStr">
        <is>
          <t>Nights A</t>
        </is>
      </c>
      <c r="S18" s="24">
        <f>COUNTIF(Q7:W17,"A")</f>
        <v/>
      </c>
      <c r="U18" s="23" t="inlineStr">
        <is>
          <t>B</t>
        </is>
      </c>
      <c r="V18" s="24">
        <f>COUNTIF(Q7:W17,"B")</f>
        <v/>
      </c>
    </row>
    <row r="20">
      <c r="A20" s="16" t="inlineStr">
        <is>
          <t>April 2027</t>
        </is>
      </c>
      <c r="B20" s="17" t="n"/>
      <c r="C20" s="17" t="n"/>
      <c r="D20" s="17" t="n"/>
      <c r="E20" s="17" t="n"/>
      <c r="F20" s="17" t="n"/>
      <c r="G20" s="17" t="n"/>
      <c r="I20" s="16" t="inlineStr">
        <is>
          <t>May 2027</t>
        </is>
      </c>
      <c r="J20" s="17" t="n"/>
      <c r="K20" s="17" t="n"/>
      <c r="L20" s="17" t="n"/>
      <c r="M20" s="17" t="n"/>
      <c r="N20" s="17" t="n"/>
      <c r="O20" s="17" t="n"/>
      <c r="Q20" s="16" t="inlineStr">
        <is>
          <t>June 2027</t>
        </is>
      </c>
      <c r="R20" s="17" t="n"/>
      <c r="S20" s="17" t="n"/>
      <c r="T20" s="17" t="n"/>
      <c r="U20" s="17" t="n"/>
      <c r="V20" s="17" t="n"/>
      <c r="W20" s="17" t="n"/>
    </row>
    <row r="21">
      <c r="A21" s="18" t="inlineStr">
        <is>
          <t>S</t>
        </is>
      </c>
      <c r="B21" s="18" t="inlineStr">
        <is>
          <t>M</t>
        </is>
      </c>
      <c r="C21" s="18" t="inlineStr">
        <is>
          <t>T</t>
        </is>
      </c>
      <c r="D21" s="18" t="inlineStr">
        <is>
          <t>W</t>
        </is>
      </c>
      <c r="E21" s="18" t="inlineStr">
        <is>
          <t>T</t>
        </is>
      </c>
      <c r="F21" s="18" t="inlineStr">
        <is>
          <t>F</t>
        </is>
      </c>
      <c r="G21" s="18" t="inlineStr">
        <is>
          <t>S</t>
        </is>
      </c>
      <c r="I21" s="18" t="inlineStr">
        <is>
          <t>S</t>
        </is>
      </c>
      <c r="J21" s="18" t="inlineStr">
        <is>
          <t>M</t>
        </is>
      </c>
      <c r="K21" s="18" t="inlineStr">
        <is>
          <t>T</t>
        </is>
      </c>
      <c r="L21" s="18" t="inlineStr">
        <is>
          <t>W</t>
        </is>
      </c>
      <c r="M21" s="18" t="inlineStr">
        <is>
          <t>T</t>
        </is>
      </c>
      <c r="N21" s="18" t="inlineStr">
        <is>
          <t>F</t>
        </is>
      </c>
      <c r="O21" s="18" t="inlineStr">
        <is>
          <t>S</t>
        </is>
      </c>
      <c r="Q21" s="18" t="inlineStr">
        <is>
          <t>S</t>
        </is>
      </c>
      <c r="R21" s="18" t="inlineStr">
        <is>
          <t>M</t>
        </is>
      </c>
      <c r="S21" s="18" t="inlineStr">
        <is>
          <t>T</t>
        </is>
      </c>
      <c r="T21" s="18" t="inlineStr">
        <is>
          <t>W</t>
        </is>
      </c>
      <c r="U21" s="18" t="inlineStr">
        <is>
          <t>T</t>
        </is>
      </c>
      <c r="V21" s="18" t="inlineStr">
        <is>
          <t>F</t>
        </is>
      </c>
      <c r="W21" s="18" t="inlineStr">
        <is>
          <t>S</t>
        </is>
      </c>
    </row>
    <row r="22">
      <c r="A22" s="19" t="n"/>
      <c r="B22" s="19" t="n"/>
      <c r="C22" s="19" t="n"/>
      <c r="D22" s="19" t="n"/>
      <c r="E22" s="20" t="n">
        <v>1</v>
      </c>
      <c r="F22" s="20" t="n">
        <v>2</v>
      </c>
      <c r="G22" s="20" t="n">
        <v>3</v>
      </c>
      <c r="I22" s="19" t="n"/>
      <c r="J22" s="19" t="n"/>
      <c r="K22" s="19" t="n"/>
      <c r="L22" s="19" t="n"/>
      <c r="M22" s="19" t="n"/>
      <c r="N22" s="19" t="n"/>
      <c r="O22" s="20" t="n">
        <v>1</v>
      </c>
      <c r="Q22" s="19" t="n"/>
      <c r="R22" s="19" t="n"/>
      <c r="S22" s="20" t="n">
        <v>1</v>
      </c>
      <c r="T22" s="20" t="n">
        <v>2</v>
      </c>
      <c r="U22" s="20" t="n">
        <v>3</v>
      </c>
      <c r="V22" s="20" t="n">
        <v>4</v>
      </c>
      <c r="W22" s="20" t="n">
        <v>5</v>
      </c>
    </row>
    <row r="23">
      <c r="A23" s="21" t="n"/>
      <c r="B23" s="21" t="n"/>
      <c r="C23" s="21" t="n"/>
      <c r="D23" s="21" t="n"/>
      <c r="E23" s="22">
        <f>IF(OR('Start here'!$B$5="",UPPER(SUBSTITUTE('Start here'!$B$6," ",""))=""),"",MID(UPPER(SUBSTITUTE('Start here'!$B$6," ","")),MOD(DATE(2027,4,1)-'Start here'!$B$5,LEN(UPPER(SUBSTITUTE('Start here'!$B$6," ",""))))+1,1))</f>
        <v/>
      </c>
      <c r="F23" s="22">
        <f>IF(OR('Start here'!$B$5="",UPPER(SUBSTITUTE('Start here'!$B$6," ",""))=""),"",MID(UPPER(SUBSTITUTE('Start here'!$B$6," ","")),MOD(DATE(2027,4,2)-'Start here'!$B$5,LEN(UPPER(SUBSTITUTE('Start here'!$B$6," ",""))))+1,1))</f>
        <v/>
      </c>
      <c r="G23" s="22">
        <f>IF(OR('Start here'!$B$5="",UPPER(SUBSTITUTE('Start here'!$B$6," ",""))=""),"",MID(UPPER(SUBSTITUTE('Start here'!$B$6," ","")),MOD(DATE(2027,4,3)-'Start here'!$B$5,LEN(UPPER(SUBSTITUTE('Start here'!$B$6," ",""))))+1,1))</f>
        <v/>
      </c>
      <c r="I23" s="21" t="n"/>
      <c r="J23" s="21" t="n"/>
      <c r="K23" s="21" t="n"/>
      <c r="L23" s="21" t="n"/>
      <c r="M23" s="21" t="n"/>
      <c r="N23" s="21" t="n"/>
      <c r="O23" s="22">
        <f>IF(OR('Start here'!$B$5="",UPPER(SUBSTITUTE('Start here'!$B$6," ",""))=""),"",MID(UPPER(SUBSTITUTE('Start here'!$B$6," ","")),MOD(DATE(2027,5,1)-'Start here'!$B$5,LEN(UPPER(SUBSTITUTE('Start here'!$B$6," ",""))))+1,1))</f>
        <v/>
      </c>
      <c r="Q23" s="21" t="n"/>
      <c r="R23" s="21" t="n"/>
      <c r="S23" s="22">
        <f>IF(OR('Start here'!$B$5="",UPPER(SUBSTITUTE('Start here'!$B$6," ",""))=""),"",MID(UPPER(SUBSTITUTE('Start here'!$B$6," ","")),MOD(DATE(2027,6,1)-'Start here'!$B$5,LEN(UPPER(SUBSTITUTE('Start here'!$B$6," ",""))))+1,1))</f>
        <v/>
      </c>
      <c r="T23" s="22">
        <f>IF(OR('Start here'!$B$5="",UPPER(SUBSTITUTE('Start here'!$B$6," ",""))=""),"",MID(UPPER(SUBSTITUTE('Start here'!$B$6," ","")),MOD(DATE(2027,6,2)-'Start here'!$B$5,LEN(UPPER(SUBSTITUTE('Start here'!$B$6," ",""))))+1,1))</f>
        <v/>
      </c>
      <c r="U23" s="22">
        <f>IF(OR('Start here'!$B$5="",UPPER(SUBSTITUTE('Start here'!$B$6," ",""))=""),"",MID(UPPER(SUBSTITUTE('Start here'!$B$6," ","")),MOD(DATE(2027,6,3)-'Start here'!$B$5,LEN(UPPER(SUBSTITUTE('Start here'!$B$6," ",""))))+1,1))</f>
        <v/>
      </c>
      <c r="V23" s="22">
        <f>IF(OR('Start here'!$B$5="",UPPER(SUBSTITUTE('Start here'!$B$6," ",""))=""),"",MID(UPPER(SUBSTITUTE('Start here'!$B$6," ","")),MOD(DATE(2027,6,4)-'Start here'!$B$5,LEN(UPPER(SUBSTITUTE('Start here'!$B$6," ",""))))+1,1))</f>
        <v/>
      </c>
      <c r="W23" s="22">
        <f>IF(OR('Start here'!$B$5="",UPPER(SUBSTITUTE('Start here'!$B$6," ",""))=""),"",MID(UPPER(SUBSTITUTE('Start here'!$B$6," ","")),MOD(DATE(2027,6,5)-'Start here'!$B$5,LEN(UPPER(SUBSTITUTE('Start here'!$B$6," ",""))))+1,1))</f>
        <v/>
      </c>
    </row>
    <row r="24">
      <c r="A24" s="20" t="n">
        <v>4</v>
      </c>
      <c r="B24" s="20" t="n">
        <v>5</v>
      </c>
      <c r="C24" s="20" t="n">
        <v>6</v>
      </c>
      <c r="D24" s="20" t="n">
        <v>7</v>
      </c>
      <c r="E24" s="20" t="n">
        <v>8</v>
      </c>
      <c r="F24" s="20" t="n">
        <v>9</v>
      </c>
      <c r="G24" s="20" t="n">
        <v>10</v>
      </c>
      <c r="I24" s="20" t="n">
        <v>2</v>
      </c>
      <c r="J24" s="20" t="n">
        <v>3</v>
      </c>
      <c r="K24" s="20" t="n">
        <v>4</v>
      </c>
      <c r="L24" s="20" t="n">
        <v>5</v>
      </c>
      <c r="M24" s="20" t="n">
        <v>6</v>
      </c>
      <c r="N24" s="20" t="n">
        <v>7</v>
      </c>
      <c r="O24" s="20" t="n">
        <v>8</v>
      </c>
      <c r="Q24" s="20" t="n">
        <v>6</v>
      </c>
      <c r="R24" s="20" t="n">
        <v>7</v>
      </c>
      <c r="S24" s="20" t="n">
        <v>8</v>
      </c>
      <c r="T24" s="20" t="n">
        <v>9</v>
      </c>
      <c r="U24" s="20" t="n">
        <v>10</v>
      </c>
      <c r="V24" s="20" t="n">
        <v>11</v>
      </c>
      <c r="W24" s="20" t="n">
        <v>12</v>
      </c>
    </row>
    <row r="25">
      <c r="A25" s="22">
        <f>IF(OR('Start here'!$B$5="",UPPER(SUBSTITUTE('Start here'!$B$6," ",""))=""),"",MID(UPPER(SUBSTITUTE('Start here'!$B$6," ","")),MOD(DATE(2027,4,4)-'Start here'!$B$5,LEN(UPPER(SUBSTITUTE('Start here'!$B$6," ",""))))+1,1))</f>
        <v/>
      </c>
      <c r="B25" s="22">
        <f>IF(OR('Start here'!$B$5="",UPPER(SUBSTITUTE('Start here'!$B$6," ",""))=""),"",MID(UPPER(SUBSTITUTE('Start here'!$B$6," ","")),MOD(DATE(2027,4,5)-'Start here'!$B$5,LEN(UPPER(SUBSTITUTE('Start here'!$B$6," ",""))))+1,1))</f>
        <v/>
      </c>
      <c r="C25" s="22">
        <f>IF(OR('Start here'!$B$5="",UPPER(SUBSTITUTE('Start here'!$B$6," ",""))=""),"",MID(UPPER(SUBSTITUTE('Start here'!$B$6," ","")),MOD(DATE(2027,4,6)-'Start here'!$B$5,LEN(UPPER(SUBSTITUTE('Start here'!$B$6," ",""))))+1,1))</f>
        <v/>
      </c>
      <c r="D25" s="22">
        <f>IF(OR('Start here'!$B$5="",UPPER(SUBSTITUTE('Start here'!$B$6," ",""))=""),"",MID(UPPER(SUBSTITUTE('Start here'!$B$6," ","")),MOD(DATE(2027,4,7)-'Start here'!$B$5,LEN(UPPER(SUBSTITUTE('Start here'!$B$6," ",""))))+1,1))</f>
        <v/>
      </c>
      <c r="E25" s="22">
        <f>IF(OR('Start here'!$B$5="",UPPER(SUBSTITUTE('Start here'!$B$6," ",""))=""),"",MID(UPPER(SUBSTITUTE('Start here'!$B$6," ","")),MOD(DATE(2027,4,8)-'Start here'!$B$5,LEN(UPPER(SUBSTITUTE('Start here'!$B$6," ",""))))+1,1))</f>
        <v/>
      </c>
      <c r="F25" s="22">
        <f>IF(OR('Start here'!$B$5="",UPPER(SUBSTITUTE('Start here'!$B$6," ",""))=""),"",MID(UPPER(SUBSTITUTE('Start here'!$B$6," ","")),MOD(DATE(2027,4,9)-'Start here'!$B$5,LEN(UPPER(SUBSTITUTE('Start here'!$B$6," ",""))))+1,1))</f>
        <v/>
      </c>
      <c r="G25" s="22">
        <f>IF(OR('Start here'!$B$5="",UPPER(SUBSTITUTE('Start here'!$B$6," ",""))=""),"",MID(UPPER(SUBSTITUTE('Start here'!$B$6," ","")),MOD(DATE(2027,4,10)-'Start here'!$B$5,LEN(UPPER(SUBSTITUTE('Start here'!$B$6," ",""))))+1,1))</f>
        <v/>
      </c>
      <c r="I25" s="22">
        <f>IF(OR('Start here'!$B$5="",UPPER(SUBSTITUTE('Start here'!$B$6," ",""))=""),"",MID(UPPER(SUBSTITUTE('Start here'!$B$6," ","")),MOD(DATE(2027,5,2)-'Start here'!$B$5,LEN(UPPER(SUBSTITUTE('Start here'!$B$6," ",""))))+1,1))</f>
        <v/>
      </c>
      <c r="J25" s="22">
        <f>IF(OR('Start here'!$B$5="",UPPER(SUBSTITUTE('Start here'!$B$6," ",""))=""),"",MID(UPPER(SUBSTITUTE('Start here'!$B$6," ","")),MOD(DATE(2027,5,3)-'Start here'!$B$5,LEN(UPPER(SUBSTITUTE('Start here'!$B$6," ",""))))+1,1))</f>
        <v/>
      </c>
      <c r="K25" s="22">
        <f>IF(OR('Start here'!$B$5="",UPPER(SUBSTITUTE('Start here'!$B$6," ",""))=""),"",MID(UPPER(SUBSTITUTE('Start here'!$B$6," ","")),MOD(DATE(2027,5,4)-'Start here'!$B$5,LEN(UPPER(SUBSTITUTE('Start here'!$B$6," ",""))))+1,1))</f>
        <v/>
      </c>
      <c r="L25" s="22">
        <f>IF(OR('Start here'!$B$5="",UPPER(SUBSTITUTE('Start here'!$B$6," ",""))=""),"",MID(UPPER(SUBSTITUTE('Start here'!$B$6," ","")),MOD(DATE(2027,5,5)-'Start here'!$B$5,LEN(UPPER(SUBSTITUTE('Start here'!$B$6," ",""))))+1,1))</f>
        <v/>
      </c>
      <c r="M25" s="22">
        <f>IF(OR('Start here'!$B$5="",UPPER(SUBSTITUTE('Start here'!$B$6," ",""))=""),"",MID(UPPER(SUBSTITUTE('Start here'!$B$6," ","")),MOD(DATE(2027,5,6)-'Start here'!$B$5,LEN(UPPER(SUBSTITUTE('Start here'!$B$6," ",""))))+1,1))</f>
        <v/>
      </c>
      <c r="N25" s="22">
        <f>IF(OR('Start here'!$B$5="",UPPER(SUBSTITUTE('Start here'!$B$6," ",""))=""),"",MID(UPPER(SUBSTITUTE('Start here'!$B$6," ","")),MOD(DATE(2027,5,7)-'Start here'!$B$5,LEN(UPPER(SUBSTITUTE('Start here'!$B$6," ",""))))+1,1))</f>
        <v/>
      </c>
      <c r="O25" s="22">
        <f>IF(OR('Start here'!$B$5="",UPPER(SUBSTITUTE('Start here'!$B$6," ",""))=""),"",MID(UPPER(SUBSTITUTE('Start here'!$B$6," ","")),MOD(DATE(2027,5,8)-'Start here'!$B$5,LEN(UPPER(SUBSTITUTE('Start here'!$B$6," ",""))))+1,1))</f>
        <v/>
      </c>
      <c r="Q25" s="22">
        <f>IF(OR('Start here'!$B$5="",UPPER(SUBSTITUTE('Start here'!$B$6," ",""))=""),"",MID(UPPER(SUBSTITUTE('Start here'!$B$6," ","")),MOD(DATE(2027,6,6)-'Start here'!$B$5,LEN(UPPER(SUBSTITUTE('Start here'!$B$6," ",""))))+1,1))</f>
        <v/>
      </c>
      <c r="R25" s="22">
        <f>IF(OR('Start here'!$B$5="",UPPER(SUBSTITUTE('Start here'!$B$6," ",""))=""),"",MID(UPPER(SUBSTITUTE('Start here'!$B$6," ","")),MOD(DATE(2027,6,7)-'Start here'!$B$5,LEN(UPPER(SUBSTITUTE('Start here'!$B$6," ",""))))+1,1))</f>
        <v/>
      </c>
      <c r="S25" s="22">
        <f>IF(OR('Start here'!$B$5="",UPPER(SUBSTITUTE('Start here'!$B$6," ",""))=""),"",MID(UPPER(SUBSTITUTE('Start here'!$B$6," ","")),MOD(DATE(2027,6,8)-'Start here'!$B$5,LEN(UPPER(SUBSTITUTE('Start here'!$B$6," ",""))))+1,1))</f>
        <v/>
      </c>
      <c r="T25" s="22">
        <f>IF(OR('Start here'!$B$5="",UPPER(SUBSTITUTE('Start here'!$B$6," ",""))=""),"",MID(UPPER(SUBSTITUTE('Start here'!$B$6," ","")),MOD(DATE(2027,6,9)-'Start here'!$B$5,LEN(UPPER(SUBSTITUTE('Start here'!$B$6," ",""))))+1,1))</f>
        <v/>
      </c>
      <c r="U25" s="22">
        <f>IF(OR('Start here'!$B$5="",UPPER(SUBSTITUTE('Start here'!$B$6," ",""))=""),"",MID(UPPER(SUBSTITUTE('Start here'!$B$6," ","")),MOD(DATE(2027,6,10)-'Start here'!$B$5,LEN(UPPER(SUBSTITUTE('Start here'!$B$6," ",""))))+1,1))</f>
        <v/>
      </c>
      <c r="V25" s="22">
        <f>IF(OR('Start here'!$B$5="",UPPER(SUBSTITUTE('Start here'!$B$6," ",""))=""),"",MID(UPPER(SUBSTITUTE('Start here'!$B$6," ","")),MOD(DATE(2027,6,11)-'Start here'!$B$5,LEN(UPPER(SUBSTITUTE('Start here'!$B$6," ",""))))+1,1))</f>
        <v/>
      </c>
      <c r="W25" s="22">
        <f>IF(OR('Start here'!$B$5="",UPPER(SUBSTITUTE('Start here'!$B$6," ",""))=""),"",MID(UPPER(SUBSTITUTE('Start here'!$B$6," ","")),MOD(DATE(2027,6,12)-'Start here'!$B$5,LEN(UPPER(SUBSTITUTE('Start here'!$B$6," ",""))))+1,1))</f>
        <v/>
      </c>
    </row>
    <row r="26">
      <c r="A26" s="20" t="n">
        <v>11</v>
      </c>
      <c r="B26" s="20" t="n">
        <v>12</v>
      </c>
      <c r="C26" s="20" t="n">
        <v>13</v>
      </c>
      <c r="D26" s="20" t="n">
        <v>14</v>
      </c>
      <c r="E26" s="20" t="n">
        <v>15</v>
      </c>
      <c r="F26" s="20" t="n">
        <v>16</v>
      </c>
      <c r="G26" s="20" t="n">
        <v>17</v>
      </c>
      <c r="I26" s="20" t="n">
        <v>9</v>
      </c>
      <c r="J26" s="20" t="n">
        <v>10</v>
      </c>
      <c r="K26" s="20" t="n">
        <v>11</v>
      </c>
      <c r="L26" s="20" t="n">
        <v>12</v>
      </c>
      <c r="M26" s="20" t="n">
        <v>13</v>
      </c>
      <c r="N26" s="20" t="n">
        <v>14</v>
      </c>
      <c r="O26" s="20" t="n">
        <v>15</v>
      </c>
      <c r="Q26" s="20" t="n">
        <v>13</v>
      </c>
      <c r="R26" s="20" t="n">
        <v>14</v>
      </c>
      <c r="S26" s="20" t="n">
        <v>15</v>
      </c>
      <c r="T26" s="20" t="n">
        <v>16</v>
      </c>
      <c r="U26" s="20" t="n">
        <v>17</v>
      </c>
      <c r="V26" s="20" t="n">
        <v>18</v>
      </c>
      <c r="W26" s="20" t="n">
        <v>19</v>
      </c>
    </row>
    <row r="27">
      <c r="A27" s="22">
        <f>IF(OR('Start here'!$B$5="",UPPER(SUBSTITUTE('Start here'!$B$6," ",""))=""),"",MID(UPPER(SUBSTITUTE('Start here'!$B$6," ","")),MOD(DATE(2027,4,11)-'Start here'!$B$5,LEN(UPPER(SUBSTITUTE('Start here'!$B$6," ",""))))+1,1))</f>
        <v/>
      </c>
      <c r="B27" s="22">
        <f>IF(OR('Start here'!$B$5="",UPPER(SUBSTITUTE('Start here'!$B$6," ",""))=""),"",MID(UPPER(SUBSTITUTE('Start here'!$B$6," ","")),MOD(DATE(2027,4,12)-'Start here'!$B$5,LEN(UPPER(SUBSTITUTE('Start here'!$B$6," ",""))))+1,1))</f>
        <v/>
      </c>
      <c r="C27" s="22">
        <f>IF(OR('Start here'!$B$5="",UPPER(SUBSTITUTE('Start here'!$B$6," ",""))=""),"",MID(UPPER(SUBSTITUTE('Start here'!$B$6," ","")),MOD(DATE(2027,4,13)-'Start here'!$B$5,LEN(UPPER(SUBSTITUTE('Start here'!$B$6," ",""))))+1,1))</f>
        <v/>
      </c>
      <c r="D27" s="22">
        <f>IF(OR('Start here'!$B$5="",UPPER(SUBSTITUTE('Start here'!$B$6," ",""))=""),"",MID(UPPER(SUBSTITUTE('Start here'!$B$6," ","")),MOD(DATE(2027,4,14)-'Start here'!$B$5,LEN(UPPER(SUBSTITUTE('Start here'!$B$6," ",""))))+1,1))</f>
        <v/>
      </c>
      <c r="E27" s="22">
        <f>IF(OR('Start here'!$B$5="",UPPER(SUBSTITUTE('Start here'!$B$6," ",""))=""),"",MID(UPPER(SUBSTITUTE('Start here'!$B$6," ","")),MOD(DATE(2027,4,15)-'Start here'!$B$5,LEN(UPPER(SUBSTITUTE('Start here'!$B$6," ",""))))+1,1))</f>
        <v/>
      </c>
      <c r="F27" s="22">
        <f>IF(OR('Start here'!$B$5="",UPPER(SUBSTITUTE('Start here'!$B$6," ",""))=""),"",MID(UPPER(SUBSTITUTE('Start here'!$B$6," ","")),MOD(DATE(2027,4,16)-'Start here'!$B$5,LEN(UPPER(SUBSTITUTE('Start here'!$B$6," ",""))))+1,1))</f>
        <v/>
      </c>
      <c r="G27" s="22">
        <f>IF(OR('Start here'!$B$5="",UPPER(SUBSTITUTE('Start here'!$B$6," ",""))=""),"",MID(UPPER(SUBSTITUTE('Start here'!$B$6," ","")),MOD(DATE(2027,4,17)-'Start here'!$B$5,LEN(UPPER(SUBSTITUTE('Start here'!$B$6," ",""))))+1,1))</f>
        <v/>
      </c>
      <c r="I27" s="22">
        <f>IF(OR('Start here'!$B$5="",UPPER(SUBSTITUTE('Start here'!$B$6," ",""))=""),"",MID(UPPER(SUBSTITUTE('Start here'!$B$6," ","")),MOD(DATE(2027,5,9)-'Start here'!$B$5,LEN(UPPER(SUBSTITUTE('Start here'!$B$6," ",""))))+1,1))</f>
        <v/>
      </c>
      <c r="J27" s="22">
        <f>IF(OR('Start here'!$B$5="",UPPER(SUBSTITUTE('Start here'!$B$6," ",""))=""),"",MID(UPPER(SUBSTITUTE('Start here'!$B$6," ","")),MOD(DATE(2027,5,10)-'Start here'!$B$5,LEN(UPPER(SUBSTITUTE('Start here'!$B$6," ",""))))+1,1))</f>
        <v/>
      </c>
      <c r="K27" s="22">
        <f>IF(OR('Start here'!$B$5="",UPPER(SUBSTITUTE('Start here'!$B$6," ",""))=""),"",MID(UPPER(SUBSTITUTE('Start here'!$B$6," ","")),MOD(DATE(2027,5,11)-'Start here'!$B$5,LEN(UPPER(SUBSTITUTE('Start here'!$B$6," ",""))))+1,1))</f>
        <v/>
      </c>
      <c r="L27" s="22">
        <f>IF(OR('Start here'!$B$5="",UPPER(SUBSTITUTE('Start here'!$B$6," ",""))=""),"",MID(UPPER(SUBSTITUTE('Start here'!$B$6," ","")),MOD(DATE(2027,5,12)-'Start here'!$B$5,LEN(UPPER(SUBSTITUTE('Start here'!$B$6," ",""))))+1,1))</f>
        <v/>
      </c>
      <c r="M27" s="22">
        <f>IF(OR('Start here'!$B$5="",UPPER(SUBSTITUTE('Start here'!$B$6," ",""))=""),"",MID(UPPER(SUBSTITUTE('Start here'!$B$6," ","")),MOD(DATE(2027,5,13)-'Start here'!$B$5,LEN(UPPER(SUBSTITUTE('Start here'!$B$6," ",""))))+1,1))</f>
        <v/>
      </c>
      <c r="N27" s="22">
        <f>IF(OR('Start here'!$B$5="",UPPER(SUBSTITUTE('Start here'!$B$6," ",""))=""),"",MID(UPPER(SUBSTITUTE('Start here'!$B$6," ","")),MOD(DATE(2027,5,14)-'Start here'!$B$5,LEN(UPPER(SUBSTITUTE('Start here'!$B$6," ",""))))+1,1))</f>
        <v/>
      </c>
      <c r="O27" s="22">
        <f>IF(OR('Start here'!$B$5="",UPPER(SUBSTITUTE('Start here'!$B$6," ",""))=""),"",MID(UPPER(SUBSTITUTE('Start here'!$B$6," ","")),MOD(DATE(2027,5,15)-'Start here'!$B$5,LEN(UPPER(SUBSTITUTE('Start here'!$B$6," ",""))))+1,1))</f>
        <v/>
      </c>
      <c r="Q27" s="22">
        <f>IF(OR('Start here'!$B$5="",UPPER(SUBSTITUTE('Start here'!$B$6," ",""))=""),"",MID(UPPER(SUBSTITUTE('Start here'!$B$6," ","")),MOD(DATE(2027,6,13)-'Start here'!$B$5,LEN(UPPER(SUBSTITUTE('Start here'!$B$6," ",""))))+1,1))</f>
        <v/>
      </c>
      <c r="R27" s="22">
        <f>IF(OR('Start here'!$B$5="",UPPER(SUBSTITUTE('Start here'!$B$6," ",""))=""),"",MID(UPPER(SUBSTITUTE('Start here'!$B$6," ","")),MOD(DATE(2027,6,14)-'Start here'!$B$5,LEN(UPPER(SUBSTITUTE('Start here'!$B$6," ",""))))+1,1))</f>
        <v/>
      </c>
      <c r="S27" s="22">
        <f>IF(OR('Start here'!$B$5="",UPPER(SUBSTITUTE('Start here'!$B$6," ",""))=""),"",MID(UPPER(SUBSTITUTE('Start here'!$B$6," ","")),MOD(DATE(2027,6,15)-'Start here'!$B$5,LEN(UPPER(SUBSTITUTE('Start here'!$B$6," ",""))))+1,1))</f>
        <v/>
      </c>
      <c r="T27" s="22">
        <f>IF(OR('Start here'!$B$5="",UPPER(SUBSTITUTE('Start here'!$B$6," ",""))=""),"",MID(UPPER(SUBSTITUTE('Start here'!$B$6," ","")),MOD(DATE(2027,6,16)-'Start here'!$B$5,LEN(UPPER(SUBSTITUTE('Start here'!$B$6," ",""))))+1,1))</f>
        <v/>
      </c>
      <c r="U27" s="22">
        <f>IF(OR('Start here'!$B$5="",UPPER(SUBSTITUTE('Start here'!$B$6," ",""))=""),"",MID(UPPER(SUBSTITUTE('Start here'!$B$6," ","")),MOD(DATE(2027,6,17)-'Start here'!$B$5,LEN(UPPER(SUBSTITUTE('Start here'!$B$6," ",""))))+1,1))</f>
        <v/>
      </c>
      <c r="V27" s="22">
        <f>IF(OR('Start here'!$B$5="",UPPER(SUBSTITUTE('Start here'!$B$6," ",""))=""),"",MID(UPPER(SUBSTITUTE('Start here'!$B$6," ","")),MOD(DATE(2027,6,18)-'Start here'!$B$5,LEN(UPPER(SUBSTITUTE('Start here'!$B$6," ",""))))+1,1))</f>
        <v/>
      </c>
      <c r="W27" s="22">
        <f>IF(OR('Start here'!$B$5="",UPPER(SUBSTITUTE('Start here'!$B$6," ",""))=""),"",MID(UPPER(SUBSTITUTE('Start here'!$B$6," ","")),MOD(DATE(2027,6,19)-'Start here'!$B$5,LEN(UPPER(SUBSTITUTE('Start here'!$B$6," ",""))))+1,1))</f>
        <v/>
      </c>
    </row>
    <row r="28">
      <c r="A28" s="20" t="n">
        <v>18</v>
      </c>
      <c r="B28" s="20" t="n">
        <v>19</v>
      </c>
      <c r="C28" s="20" t="n">
        <v>20</v>
      </c>
      <c r="D28" s="20" t="n">
        <v>21</v>
      </c>
      <c r="E28" s="20" t="n">
        <v>22</v>
      </c>
      <c r="F28" s="20" t="n">
        <v>23</v>
      </c>
      <c r="G28" s="20" t="n">
        <v>24</v>
      </c>
      <c r="I28" s="20" t="n">
        <v>16</v>
      </c>
      <c r="J28" s="20" t="n">
        <v>17</v>
      </c>
      <c r="K28" s="20" t="n">
        <v>18</v>
      </c>
      <c r="L28" s="20" t="n">
        <v>19</v>
      </c>
      <c r="M28" s="20" t="n">
        <v>20</v>
      </c>
      <c r="N28" s="20" t="n">
        <v>21</v>
      </c>
      <c r="O28" s="20" t="n">
        <v>22</v>
      </c>
      <c r="Q28" s="20" t="n">
        <v>20</v>
      </c>
      <c r="R28" s="20" t="n">
        <v>21</v>
      </c>
      <c r="S28" s="20" t="n">
        <v>22</v>
      </c>
      <c r="T28" s="20" t="n">
        <v>23</v>
      </c>
      <c r="U28" s="20" t="n">
        <v>24</v>
      </c>
      <c r="V28" s="20" t="n">
        <v>25</v>
      </c>
      <c r="W28" s="20" t="n">
        <v>26</v>
      </c>
    </row>
    <row r="29">
      <c r="A29" s="22">
        <f>IF(OR('Start here'!$B$5="",UPPER(SUBSTITUTE('Start here'!$B$6," ",""))=""),"",MID(UPPER(SUBSTITUTE('Start here'!$B$6," ","")),MOD(DATE(2027,4,18)-'Start here'!$B$5,LEN(UPPER(SUBSTITUTE('Start here'!$B$6," ",""))))+1,1))</f>
        <v/>
      </c>
      <c r="B29" s="22">
        <f>IF(OR('Start here'!$B$5="",UPPER(SUBSTITUTE('Start here'!$B$6," ",""))=""),"",MID(UPPER(SUBSTITUTE('Start here'!$B$6," ","")),MOD(DATE(2027,4,19)-'Start here'!$B$5,LEN(UPPER(SUBSTITUTE('Start here'!$B$6," ",""))))+1,1))</f>
        <v/>
      </c>
      <c r="C29" s="22">
        <f>IF(OR('Start here'!$B$5="",UPPER(SUBSTITUTE('Start here'!$B$6," ",""))=""),"",MID(UPPER(SUBSTITUTE('Start here'!$B$6," ","")),MOD(DATE(2027,4,20)-'Start here'!$B$5,LEN(UPPER(SUBSTITUTE('Start here'!$B$6," ",""))))+1,1))</f>
        <v/>
      </c>
      <c r="D29" s="22">
        <f>IF(OR('Start here'!$B$5="",UPPER(SUBSTITUTE('Start here'!$B$6," ",""))=""),"",MID(UPPER(SUBSTITUTE('Start here'!$B$6," ","")),MOD(DATE(2027,4,21)-'Start here'!$B$5,LEN(UPPER(SUBSTITUTE('Start here'!$B$6," ",""))))+1,1))</f>
        <v/>
      </c>
      <c r="E29" s="22">
        <f>IF(OR('Start here'!$B$5="",UPPER(SUBSTITUTE('Start here'!$B$6," ",""))=""),"",MID(UPPER(SUBSTITUTE('Start here'!$B$6," ","")),MOD(DATE(2027,4,22)-'Start here'!$B$5,LEN(UPPER(SUBSTITUTE('Start here'!$B$6," ",""))))+1,1))</f>
        <v/>
      </c>
      <c r="F29" s="22">
        <f>IF(OR('Start here'!$B$5="",UPPER(SUBSTITUTE('Start here'!$B$6," ",""))=""),"",MID(UPPER(SUBSTITUTE('Start here'!$B$6," ","")),MOD(DATE(2027,4,23)-'Start here'!$B$5,LEN(UPPER(SUBSTITUTE('Start here'!$B$6," ",""))))+1,1))</f>
        <v/>
      </c>
      <c r="G29" s="22">
        <f>IF(OR('Start here'!$B$5="",UPPER(SUBSTITUTE('Start here'!$B$6," ",""))=""),"",MID(UPPER(SUBSTITUTE('Start here'!$B$6," ","")),MOD(DATE(2027,4,24)-'Start here'!$B$5,LEN(UPPER(SUBSTITUTE('Start here'!$B$6," ",""))))+1,1))</f>
        <v/>
      </c>
      <c r="I29" s="22">
        <f>IF(OR('Start here'!$B$5="",UPPER(SUBSTITUTE('Start here'!$B$6," ",""))=""),"",MID(UPPER(SUBSTITUTE('Start here'!$B$6," ","")),MOD(DATE(2027,5,16)-'Start here'!$B$5,LEN(UPPER(SUBSTITUTE('Start here'!$B$6," ",""))))+1,1))</f>
        <v/>
      </c>
      <c r="J29" s="22">
        <f>IF(OR('Start here'!$B$5="",UPPER(SUBSTITUTE('Start here'!$B$6," ",""))=""),"",MID(UPPER(SUBSTITUTE('Start here'!$B$6," ","")),MOD(DATE(2027,5,17)-'Start here'!$B$5,LEN(UPPER(SUBSTITUTE('Start here'!$B$6," ",""))))+1,1))</f>
        <v/>
      </c>
      <c r="K29" s="22">
        <f>IF(OR('Start here'!$B$5="",UPPER(SUBSTITUTE('Start here'!$B$6," ",""))=""),"",MID(UPPER(SUBSTITUTE('Start here'!$B$6," ","")),MOD(DATE(2027,5,18)-'Start here'!$B$5,LEN(UPPER(SUBSTITUTE('Start here'!$B$6," ",""))))+1,1))</f>
        <v/>
      </c>
      <c r="L29" s="22">
        <f>IF(OR('Start here'!$B$5="",UPPER(SUBSTITUTE('Start here'!$B$6," ",""))=""),"",MID(UPPER(SUBSTITUTE('Start here'!$B$6," ","")),MOD(DATE(2027,5,19)-'Start here'!$B$5,LEN(UPPER(SUBSTITUTE('Start here'!$B$6," ",""))))+1,1))</f>
        <v/>
      </c>
      <c r="M29" s="22">
        <f>IF(OR('Start here'!$B$5="",UPPER(SUBSTITUTE('Start here'!$B$6," ",""))=""),"",MID(UPPER(SUBSTITUTE('Start here'!$B$6," ","")),MOD(DATE(2027,5,20)-'Start here'!$B$5,LEN(UPPER(SUBSTITUTE('Start here'!$B$6," ",""))))+1,1))</f>
        <v/>
      </c>
      <c r="N29" s="22">
        <f>IF(OR('Start here'!$B$5="",UPPER(SUBSTITUTE('Start here'!$B$6," ",""))=""),"",MID(UPPER(SUBSTITUTE('Start here'!$B$6," ","")),MOD(DATE(2027,5,21)-'Start here'!$B$5,LEN(UPPER(SUBSTITUTE('Start here'!$B$6," ",""))))+1,1))</f>
        <v/>
      </c>
      <c r="O29" s="22">
        <f>IF(OR('Start here'!$B$5="",UPPER(SUBSTITUTE('Start here'!$B$6," ",""))=""),"",MID(UPPER(SUBSTITUTE('Start here'!$B$6," ","")),MOD(DATE(2027,5,22)-'Start here'!$B$5,LEN(UPPER(SUBSTITUTE('Start here'!$B$6," ",""))))+1,1))</f>
        <v/>
      </c>
      <c r="Q29" s="22">
        <f>IF(OR('Start here'!$B$5="",UPPER(SUBSTITUTE('Start here'!$B$6," ",""))=""),"",MID(UPPER(SUBSTITUTE('Start here'!$B$6," ","")),MOD(DATE(2027,6,20)-'Start here'!$B$5,LEN(UPPER(SUBSTITUTE('Start here'!$B$6," ",""))))+1,1))</f>
        <v/>
      </c>
      <c r="R29" s="22">
        <f>IF(OR('Start here'!$B$5="",UPPER(SUBSTITUTE('Start here'!$B$6," ",""))=""),"",MID(UPPER(SUBSTITUTE('Start here'!$B$6," ","")),MOD(DATE(2027,6,21)-'Start here'!$B$5,LEN(UPPER(SUBSTITUTE('Start here'!$B$6," ",""))))+1,1))</f>
        <v/>
      </c>
      <c r="S29" s="22">
        <f>IF(OR('Start here'!$B$5="",UPPER(SUBSTITUTE('Start here'!$B$6," ",""))=""),"",MID(UPPER(SUBSTITUTE('Start here'!$B$6," ","")),MOD(DATE(2027,6,22)-'Start here'!$B$5,LEN(UPPER(SUBSTITUTE('Start here'!$B$6," ",""))))+1,1))</f>
        <v/>
      </c>
      <c r="T29" s="22">
        <f>IF(OR('Start here'!$B$5="",UPPER(SUBSTITUTE('Start here'!$B$6," ",""))=""),"",MID(UPPER(SUBSTITUTE('Start here'!$B$6," ","")),MOD(DATE(2027,6,23)-'Start here'!$B$5,LEN(UPPER(SUBSTITUTE('Start here'!$B$6," ",""))))+1,1))</f>
        <v/>
      </c>
      <c r="U29" s="22">
        <f>IF(OR('Start here'!$B$5="",UPPER(SUBSTITUTE('Start here'!$B$6," ",""))=""),"",MID(UPPER(SUBSTITUTE('Start here'!$B$6," ","")),MOD(DATE(2027,6,24)-'Start here'!$B$5,LEN(UPPER(SUBSTITUTE('Start here'!$B$6," ",""))))+1,1))</f>
        <v/>
      </c>
      <c r="V29" s="22">
        <f>IF(OR('Start here'!$B$5="",UPPER(SUBSTITUTE('Start here'!$B$6," ",""))=""),"",MID(UPPER(SUBSTITUTE('Start here'!$B$6," ","")),MOD(DATE(2027,6,25)-'Start here'!$B$5,LEN(UPPER(SUBSTITUTE('Start here'!$B$6," ",""))))+1,1))</f>
        <v/>
      </c>
      <c r="W29" s="22">
        <f>IF(OR('Start here'!$B$5="",UPPER(SUBSTITUTE('Start here'!$B$6," ",""))=""),"",MID(UPPER(SUBSTITUTE('Start here'!$B$6," ","")),MOD(DATE(2027,6,26)-'Start here'!$B$5,LEN(UPPER(SUBSTITUTE('Start here'!$B$6," ",""))))+1,1))</f>
        <v/>
      </c>
    </row>
    <row r="30">
      <c r="A30" s="20" t="n">
        <v>25</v>
      </c>
      <c r="B30" s="20" t="n">
        <v>26</v>
      </c>
      <c r="C30" s="20" t="n">
        <v>27</v>
      </c>
      <c r="D30" s="20" t="n">
        <v>28</v>
      </c>
      <c r="E30" s="20" t="n">
        <v>29</v>
      </c>
      <c r="F30" s="20" t="n">
        <v>30</v>
      </c>
      <c r="G30" s="19" t="n"/>
      <c r="I30" s="20" t="n">
        <v>23</v>
      </c>
      <c r="J30" s="20" t="n">
        <v>24</v>
      </c>
      <c r="K30" s="20" t="n">
        <v>25</v>
      </c>
      <c r="L30" s="20" t="n">
        <v>26</v>
      </c>
      <c r="M30" s="20" t="n">
        <v>27</v>
      </c>
      <c r="N30" s="20" t="n">
        <v>28</v>
      </c>
      <c r="O30" s="20" t="n">
        <v>29</v>
      </c>
      <c r="Q30" s="20" t="n">
        <v>27</v>
      </c>
      <c r="R30" s="20" t="n">
        <v>28</v>
      </c>
      <c r="S30" s="20" t="n">
        <v>29</v>
      </c>
      <c r="T30" s="20" t="n">
        <v>30</v>
      </c>
      <c r="U30" s="19" t="n"/>
      <c r="V30" s="19" t="n"/>
      <c r="W30" s="19" t="n"/>
    </row>
    <row r="31">
      <c r="A31" s="22">
        <f>IF(OR('Start here'!$B$5="",UPPER(SUBSTITUTE('Start here'!$B$6," ",""))=""),"",MID(UPPER(SUBSTITUTE('Start here'!$B$6," ","")),MOD(DATE(2027,4,25)-'Start here'!$B$5,LEN(UPPER(SUBSTITUTE('Start here'!$B$6," ",""))))+1,1))</f>
        <v/>
      </c>
      <c r="B31" s="22">
        <f>IF(OR('Start here'!$B$5="",UPPER(SUBSTITUTE('Start here'!$B$6," ",""))=""),"",MID(UPPER(SUBSTITUTE('Start here'!$B$6," ","")),MOD(DATE(2027,4,26)-'Start here'!$B$5,LEN(UPPER(SUBSTITUTE('Start here'!$B$6," ",""))))+1,1))</f>
        <v/>
      </c>
      <c r="C31" s="22">
        <f>IF(OR('Start here'!$B$5="",UPPER(SUBSTITUTE('Start here'!$B$6," ",""))=""),"",MID(UPPER(SUBSTITUTE('Start here'!$B$6," ","")),MOD(DATE(2027,4,27)-'Start here'!$B$5,LEN(UPPER(SUBSTITUTE('Start here'!$B$6," ",""))))+1,1))</f>
        <v/>
      </c>
      <c r="D31" s="22">
        <f>IF(OR('Start here'!$B$5="",UPPER(SUBSTITUTE('Start here'!$B$6," ",""))=""),"",MID(UPPER(SUBSTITUTE('Start here'!$B$6," ","")),MOD(DATE(2027,4,28)-'Start here'!$B$5,LEN(UPPER(SUBSTITUTE('Start here'!$B$6," ",""))))+1,1))</f>
        <v/>
      </c>
      <c r="E31" s="22">
        <f>IF(OR('Start here'!$B$5="",UPPER(SUBSTITUTE('Start here'!$B$6," ",""))=""),"",MID(UPPER(SUBSTITUTE('Start here'!$B$6," ","")),MOD(DATE(2027,4,29)-'Start here'!$B$5,LEN(UPPER(SUBSTITUTE('Start here'!$B$6," ",""))))+1,1))</f>
        <v/>
      </c>
      <c r="F31" s="22">
        <f>IF(OR('Start here'!$B$5="",UPPER(SUBSTITUTE('Start here'!$B$6," ",""))=""),"",MID(UPPER(SUBSTITUTE('Start here'!$B$6," ","")),MOD(DATE(2027,4,30)-'Start here'!$B$5,LEN(UPPER(SUBSTITUTE('Start here'!$B$6," ",""))))+1,1))</f>
        <v/>
      </c>
      <c r="G31" s="21" t="n"/>
      <c r="I31" s="22">
        <f>IF(OR('Start here'!$B$5="",UPPER(SUBSTITUTE('Start here'!$B$6," ",""))=""),"",MID(UPPER(SUBSTITUTE('Start here'!$B$6," ","")),MOD(DATE(2027,5,23)-'Start here'!$B$5,LEN(UPPER(SUBSTITUTE('Start here'!$B$6," ",""))))+1,1))</f>
        <v/>
      </c>
      <c r="J31" s="22">
        <f>IF(OR('Start here'!$B$5="",UPPER(SUBSTITUTE('Start here'!$B$6," ",""))=""),"",MID(UPPER(SUBSTITUTE('Start here'!$B$6," ","")),MOD(DATE(2027,5,24)-'Start here'!$B$5,LEN(UPPER(SUBSTITUTE('Start here'!$B$6," ",""))))+1,1))</f>
        <v/>
      </c>
      <c r="K31" s="22">
        <f>IF(OR('Start here'!$B$5="",UPPER(SUBSTITUTE('Start here'!$B$6," ",""))=""),"",MID(UPPER(SUBSTITUTE('Start here'!$B$6," ","")),MOD(DATE(2027,5,25)-'Start here'!$B$5,LEN(UPPER(SUBSTITUTE('Start here'!$B$6," ",""))))+1,1))</f>
        <v/>
      </c>
      <c r="L31" s="22">
        <f>IF(OR('Start here'!$B$5="",UPPER(SUBSTITUTE('Start here'!$B$6," ",""))=""),"",MID(UPPER(SUBSTITUTE('Start here'!$B$6," ","")),MOD(DATE(2027,5,26)-'Start here'!$B$5,LEN(UPPER(SUBSTITUTE('Start here'!$B$6," ",""))))+1,1))</f>
        <v/>
      </c>
      <c r="M31" s="22">
        <f>IF(OR('Start here'!$B$5="",UPPER(SUBSTITUTE('Start here'!$B$6," ",""))=""),"",MID(UPPER(SUBSTITUTE('Start here'!$B$6," ","")),MOD(DATE(2027,5,27)-'Start here'!$B$5,LEN(UPPER(SUBSTITUTE('Start here'!$B$6," ",""))))+1,1))</f>
        <v/>
      </c>
      <c r="N31" s="22">
        <f>IF(OR('Start here'!$B$5="",UPPER(SUBSTITUTE('Start here'!$B$6," ",""))=""),"",MID(UPPER(SUBSTITUTE('Start here'!$B$6," ","")),MOD(DATE(2027,5,28)-'Start here'!$B$5,LEN(UPPER(SUBSTITUTE('Start here'!$B$6," ",""))))+1,1))</f>
        <v/>
      </c>
      <c r="O31" s="22">
        <f>IF(OR('Start here'!$B$5="",UPPER(SUBSTITUTE('Start here'!$B$6," ",""))=""),"",MID(UPPER(SUBSTITUTE('Start here'!$B$6," ","")),MOD(DATE(2027,5,29)-'Start here'!$B$5,LEN(UPPER(SUBSTITUTE('Start here'!$B$6," ",""))))+1,1))</f>
        <v/>
      </c>
      <c r="Q31" s="22">
        <f>IF(OR('Start here'!$B$5="",UPPER(SUBSTITUTE('Start here'!$B$6," ",""))=""),"",MID(UPPER(SUBSTITUTE('Start here'!$B$6," ","")),MOD(DATE(2027,6,27)-'Start here'!$B$5,LEN(UPPER(SUBSTITUTE('Start here'!$B$6," ",""))))+1,1))</f>
        <v/>
      </c>
      <c r="R31" s="22">
        <f>IF(OR('Start here'!$B$5="",UPPER(SUBSTITUTE('Start here'!$B$6," ",""))=""),"",MID(UPPER(SUBSTITUTE('Start here'!$B$6," ","")),MOD(DATE(2027,6,28)-'Start here'!$B$5,LEN(UPPER(SUBSTITUTE('Start here'!$B$6," ",""))))+1,1))</f>
        <v/>
      </c>
      <c r="S31" s="22">
        <f>IF(OR('Start here'!$B$5="",UPPER(SUBSTITUTE('Start here'!$B$6," ",""))=""),"",MID(UPPER(SUBSTITUTE('Start here'!$B$6," ","")),MOD(DATE(2027,6,29)-'Start here'!$B$5,LEN(UPPER(SUBSTITUTE('Start here'!$B$6," ",""))))+1,1))</f>
        <v/>
      </c>
      <c r="T31" s="22">
        <f>IF(OR('Start here'!$B$5="",UPPER(SUBSTITUTE('Start here'!$B$6," ",""))=""),"",MID(UPPER(SUBSTITUTE('Start here'!$B$6," ","")),MOD(DATE(2027,6,30)-'Start here'!$B$5,LEN(UPPER(SUBSTITUTE('Start here'!$B$6," ",""))))+1,1))</f>
        <v/>
      </c>
      <c r="U31" s="21" t="n"/>
      <c r="V31" s="21" t="n"/>
      <c r="W31" s="21" t="n"/>
    </row>
    <row r="32">
      <c r="A32" s="19" t="n"/>
      <c r="B32" s="19" t="n"/>
      <c r="C32" s="19" t="n"/>
      <c r="D32" s="19" t="n"/>
      <c r="E32" s="19" t="n"/>
      <c r="F32" s="19" t="n"/>
      <c r="G32" s="19" t="n"/>
      <c r="I32" s="20" t="n">
        <v>30</v>
      </c>
      <c r="J32" s="20" t="n">
        <v>31</v>
      </c>
      <c r="K32" s="19" t="n"/>
      <c r="L32" s="19" t="n"/>
      <c r="M32" s="19" t="n"/>
      <c r="N32" s="19" t="n"/>
      <c r="O32" s="19" t="n"/>
      <c r="Q32" s="19" t="n"/>
      <c r="R32" s="19" t="n"/>
      <c r="S32" s="19" t="n"/>
      <c r="T32" s="19" t="n"/>
      <c r="U32" s="19" t="n"/>
      <c r="V32" s="19" t="n"/>
      <c r="W32" s="19" t="n"/>
    </row>
    <row r="33">
      <c r="A33" s="21" t="n"/>
      <c r="B33" s="21" t="n"/>
      <c r="C33" s="21" t="n"/>
      <c r="D33" s="21" t="n"/>
      <c r="E33" s="21" t="n"/>
      <c r="F33" s="21" t="n"/>
      <c r="G33" s="21" t="n"/>
      <c r="I33" s="22">
        <f>IF(OR('Start here'!$B$5="",UPPER(SUBSTITUTE('Start here'!$B$6," ",""))=""),"",MID(UPPER(SUBSTITUTE('Start here'!$B$6," ","")),MOD(DATE(2027,5,30)-'Start here'!$B$5,LEN(UPPER(SUBSTITUTE('Start here'!$B$6," ",""))))+1,1))</f>
        <v/>
      </c>
      <c r="J33" s="22">
        <f>IF(OR('Start here'!$B$5="",UPPER(SUBSTITUTE('Start here'!$B$6," ",""))=""),"",MID(UPPER(SUBSTITUTE('Start here'!$B$6," ","")),MOD(DATE(2027,5,31)-'Start here'!$B$5,LEN(UPPER(SUBSTITUTE('Start here'!$B$6," ",""))))+1,1))</f>
        <v/>
      </c>
      <c r="K33" s="21" t="n"/>
      <c r="L33" s="21" t="n"/>
      <c r="M33" s="21" t="n"/>
      <c r="N33" s="21" t="n"/>
      <c r="O33" s="21" t="n"/>
      <c r="Q33" s="21" t="n"/>
      <c r="R33" s="21" t="n"/>
      <c r="S33" s="21" t="n"/>
      <c r="T33" s="21" t="n"/>
      <c r="U33" s="21" t="n"/>
      <c r="V33" s="21" t="n"/>
      <c r="W33" s="21" t="n"/>
    </row>
    <row r="34">
      <c r="A34" s="23" t="inlineStr">
        <is>
          <t>Nights A</t>
        </is>
      </c>
      <c r="C34" s="24">
        <f>COUNTIF(A23:G33,"A")</f>
        <v/>
      </c>
      <c r="E34" s="23" t="inlineStr">
        <is>
          <t>B</t>
        </is>
      </c>
      <c r="F34" s="24">
        <f>COUNTIF(A23:G33,"B")</f>
        <v/>
      </c>
      <c r="I34" s="23" t="inlineStr">
        <is>
          <t>Nights A</t>
        </is>
      </c>
      <c r="K34" s="24">
        <f>COUNTIF(I23:O33,"A")</f>
        <v/>
      </c>
      <c r="M34" s="23" t="inlineStr">
        <is>
          <t>B</t>
        </is>
      </c>
      <c r="N34" s="24">
        <f>COUNTIF(I23:O33,"B")</f>
        <v/>
      </c>
      <c r="Q34" s="23" t="inlineStr">
        <is>
          <t>Nights A</t>
        </is>
      </c>
      <c r="S34" s="24">
        <f>COUNTIF(Q23:W33,"A")</f>
        <v/>
      </c>
      <c r="U34" s="23" t="inlineStr">
        <is>
          <t>B</t>
        </is>
      </c>
      <c r="V34" s="24">
        <f>COUNTIF(Q23:W33,"B")</f>
        <v/>
      </c>
    </row>
    <row r="36">
      <c r="A36" s="16" t="inlineStr">
        <is>
          <t>July 2027</t>
        </is>
      </c>
      <c r="B36" s="17" t="n"/>
      <c r="C36" s="17" t="n"/>
      <c r="D36" s="17" t="n"/>
      <c r="E36" s="17" t="n"/>
      <c r="F36" s="17" t="n"/>
      <c r="G36" s="17" t="n"/>
      <c r="I36" s="16" t="inlineStr">
        <is>
          <t>August 2027</t>
        </is>
      </c>
      <c r="J36" s="17" t="n"/>
      <c r="K36" s="17" t="n"/>
      <c r="L36" s="17" t="n"/>
      <c r="M36" s="17" t="n"/>
      <c r="N36" s="17" t="n"/>
      <c r="O36" s="17" t="n"/>
      <c r="Q36" s="16" t="inlineStr">
        <is>
          <t>September 2027</t>
        </is>
      </c>
      <c r="R36" s="17" t="n"/>
      <c r="S36" s="17" t="n"/>
      <c r="T36" s="17" t="n"/>
      <c r="U36" s="17" t="n"/>
      <c r="V36" s="17" t="n"/>
      <c r="W36" s="17" t="n"/>
    </row>
    <row r="37">
      <c r="A37" s="18" t="inlineStr">
        <is>
          <t>S</t>
        </is>
      </c>
      <c r="B37" s="18" t="inlineStr">
        <is>
          <t>M</t>
        </is>
      </c>
      <c r="C37" s="18" t="inlineStr">
        <is>
          <t>T</t>
        </is>
      </c>
      <c r="D37" s="18" t="inlineStr">
        <is>
          <t>W</t>
        </is>
      </c>
      <c r="E37" s="18" t="inlineStr">
        <is>
          <t>T</t>
        </is>
      </c>
      <c r="F37" s="18" t="inlineStr">
        <is>
          <t>F</t>
        </is>
      </c>
      <c r="G37" s="18" t="inlineStr">
        <is>
          <t>S</t>
        </is>
      </c>
      <c r="I37" s="18" t="inlineStr">
        <is>
          <t>S</t>
        </is>
      </c>
      <c r="J37" s="18" t="inlineStr">
        <is>
          <t>M</t>
        </is>
      </c>
      <c r="K37" s="18" t="inlineStr">
        <is>
          <t>T</t>
        </is>
      </c>
      <c r="L37" s="18" t="inlineStr">
        <is>
          <t>W</t>
        </is>
      </c>
      <c r="M37" s="18" t="inlineStr">
        <is>
          <t>T</t>
        </is>
      </c>
      <c r="N37" s="18" t="inlineStr">
        <is>
          <t>F</t>
        </is>
      </c>
      <c r="O37" s="18" t="inlineStr">
        <is>
          <t>S</t>
        </is>
      </c>
      <c r="Q37" s="18" t="inlineStr">
        <is>
          <t>S</t>
        </is>
      </c>
      <c r="R37" s="18" t="inlineStr">
        <is>
          <t>M</t>
        </is>
      </c>
      <c r="S37" s="18" t="inlineStr">
        <is>
          <t>T</t>
        </is>
      </c>
      <c r="T37" s="18" t="inlineStr">
        <is>
          <t>W</t>
        </is>
      </c>
      <c r="U37" s="18" t="inlineStr">
        <is>
          <t>T</t>
        </is>
      </c>
      <c r="V37" s="18" t="inlineStr">
        <is>
          <t>F</t>
        </is>
      </c>
      <c r="W37" s="18" t="inlineStr">
        <is>
          <t>S</t>
        </is>
      </c>
    </row>
    <row r="38">
      <c r="A38" s="19" t="n"/>
      <c r="B38" s="19" t="n"/>
      <c r="C38" s="19" t="n"/>
      <c r="D38" s="19" t="n"/>
      <c r="E38" s="20" t="n">
        <v>1</v>
      </c>
      <c r="F38" s="20" t="n">
        <v>2</v>
      </c>
      <c r="G38" s="20" t="n">
        <v>3</v>
      </c>
      <c r="I38" s="20" t="n">
        <v>1</v>
      </c>
      <c r="J38" s="20" t="n">
        <v>2</v>
      </c>
      <c r="K38" s="20" t="n">
        <v>3</v>
      </c>
      <c r="L38" s="20" t="n">
        <v>4</v>
      </c>
      <c r="M38" s="20" t="n">
        <v>5</v>
      </c>
      <c r="N38" s="20" t="n">
        <v>6</v>
      </c>
      <c r="O38" s="20" t="n">
        <v>7</v>
      </c>
      <c r="Q38" s="19" t="n"/>
      <c r="R38" s="19" t="n"/>
      <c r="S38" s="19" t="n"/>
      <c r="T38" s="20" t="n">
        <v>1</v>
      </c>
      <c r="U38" s="20" t="n">
        <v>2</v>
      </c>
      <c r="V38" s="20" t="n">
        <v>3</v>
      </c>
      <c r="W38" s="20" t="n">
        <v>4</v>
      </c>
    </row>
    <row r="39">
      <c r="A39" s="21" t="n"/>
      <c r="B39" s="21" t="n"/>
      <c r="C39" s="21" t="n"/>
      <c r="D39" s="21" t="n"/>
      <c r="E39" s="22">
        <f>IF(OR('Start here'!$B$5="",UPPER(SUBSTITUTE('Start here'!$B$6," ",""))=""),"",MID(UPPER(SUBSTITUTE('Start here'!$B$6," ","")),MOD(DATE(2027,7,1)-'Start here'!$B$5,LEN(UPPER(SUBSTITUTE('Start here'!$B$6," ",""))))+1,1))</f>
        <v/>
      </c>
      <c r="F39" s="22">
        <f>IF(OR('Start here'!$B$5="",UPPER(SUBSTITUTE('Start here'!$B$6," ",""))=""),"",MID(UPPER(SUBSTITUTE('Start here'!$B$6," ","")),MOD(DATE(2027,7,2)-'Start here'!$B$5,LEN(UPPER(SUBSTITUTE('Start here'!$B$6," ",""))))+1,1))</f>
        <v/>
      </c>
      <c r="G39" s="22">
        <f>IF(OR('Start here'!$B$5="",UPPER(SUBSTITUTE('Start here'!$B$6," ",""))=""),"",MID(UPPER(SUBSTITUTE('Start here'!$B$6," ","")),MOD(DATE(2027,7,3)-'Start here'!$B$5,LEN(UPPER(SUBSTITUTE('Start here'!$B$6," ",""))))+1,1))</f>
        <v/>
      </c>
      <c r="I39" s="22">
        <f>IF(OR('Start here'!$B$5="",UPPER(SUBSTITUTE('Start here'!$B$6," ",""))=""),"",MID(UPPER(SUBSTITUTE('Start here'!$B$6," ","")),MOD(DATE(2027,8,1)-'Start here'!$B$5,LEN(UPPER(SUBSTITUTE('Start here'!$B$6," ",""))))+1,1))</f>
        <v/>
      </c>
      <c r="J39" s="22">
        <f>IF(OR('Start here'!$B$5="",UPPER(SUBSTITUTE('Start here'!$B$6," ",""))=""),"",MID(UPPER(SUBSTITUTE('Start here'!$B$6," ","")),MOD(DATE(2027,8,2)-'Start here'!$B$5,LEN(UPPER(SUBSTITUTE('Start here'!$B$6," ",""))))+1,1))</f>
        <v/>
      </c>
      <c r="K39" s="22">
        <f>IF(OR('Start here'!$B$5="",UPPER(SUBSTITUTE('Start here'!$B$6," ",""))=""),"",MID(UPPER(SUBSTITUTE('Start here'!$B$6," ","")),MOD(DATE(2027,8,3)-'Start here'!$B$5,LEN(UPPER(SUBSTITUTE('Start here'!$B$6," ",""))))+1,1))</f>
        <v/>
      </c>
      <c r="L39" s="22">
        <f>IF(OR('Start here'!$B$5="",UPPER(SUBSTITUTE('Start here'!$B$6," ",""))=""),"",MID(UPPER(SUBSTITUTE('Start here'!$B$6," ","")),MOD(DATE(2027,8,4)-'Start here'!$B$5,LEN(UPPER(SUBSTITUTE('Start here'!$B$6," ",""))))+1,1))</f>
        <v/>
      </c>
      <c r="M39" s="22">
        <f>IF(OR('Start here'!$B$5="",UPPER(SUBSTITUTE('Start here'!$B$6," ",""))=""),"",MID(UPPER(SUBSTITUTE('Start here'!$B$6," ","")),MOD(DATE(2027,8,5)-'Start here'!$B$5,LEN(UPPER(SUBSTITUTE('Start here'!$B$6," ",""))))+1,1))</f>
        <v/>
      </c>
      <c r="N39" s="22">
        <f>IF(OR('Start here'!$B$5="",UPPER(SUBSTITUTE('Start here'!$B$6," ",""))=""),"",MID(UPPER(SUBSTITUTE('Start here'!$B$6," ","")),MOD(DATE(2027,8,6)-'Start here'!$B$5,LEN(UPPER(SUBSTITUTE('Start here'!$B$6," ",""))))+1,1))</f>
        <v/>
      </c>
      <c r="O39" s="22">
        <f>IF(OR('Start here'!$B$5="",UPPER(SUBSTITUTE('Start here'!$B$6," ",""))=""),"",MID(UPPER(SUBSTITUTE('Start here'!$B$6," ","")),MOD(DATE(2027,8,7)-'Start here'!$B$5,LEN(UPPER(SUBSTITUTE('Start here'!$B$6," ",""))))+1,1))</f>
        <v/>
      </c>
      <c r="Q39" s="21" t="n"/>
      <c r="R39" s="21" t="n"/>
      <c r="S39" s="21" t="n"/>
      <c r="T39" s="22">
        <f>IF(OR('Start here'!$B$5="",UPPER(SUBSTITUTE('Start here'!$B$6," ",""))=""),"",MID(UPPER(SUBSTITUTE('Start here'!$B$6," ","")),MOD(DATE(2027,9,1)-'Start here'!$B$5,LEN(UPPER(SUBSTITUTE('Start here'!$B$6," ",""))))+1,1))</f>
        <v/>
      </c>
      <c r="U39" s="22">
        <f>IF(OR('Start here'!$B$5="",UPPER(SUBSTITUTE('Start here'!$B$6," ",""))=""),"",MID(UPPER(SUBSTITUTE('Start here'!$B$6," ","")),MOD(DATE(2027,9,2)-'Start here'!$B$5,LEN(UPPER(SUBSTITUTE('Start here'!$B$6," ",""))))+1,1))</f>
        <v/>
      </c>
      <c r="V39" s="22">
        <f>IF(OR('Start here'!$B$5="",UPPER(SUBSTITUTE('Start here'!$B$6," ",""))=""),"",MID(UPPER(SUBSTITUTE('Start here'!$B$6," ","")),MOD(DATE(2027,9,3)-'Start here'!$B$5,LEN(UPPER(SUBSTITUTE('Start here'!$B$6," ",""))))+1,1))</f>
        <v/>
      </c>
      <c r="W39" s="22">
        <f>IF(OR('Start here'!$B$5="",UPPER(SUBSTITUTE('Start here'!$B$6," ",""))=""),"",MID(UPPER(SUBSTITUTE('Start here'!$B$6," ","")),MOD(DATE(2027,9,4)-'Start here'!$B$5,LEN(UPPER(SUBSTITUTE('Start here'!$B$6," ",""))))+1,1))</f>
        <v/>
      </c>
    </row>
    <row r="40">
      <c r="A40" s="20" t="n">
        <v>4</v>
      </c>
      <c r="B40" s="20" t="n">
        <v>5</v>
      </c>
      <c r="C40" s="20" t="n">
        <v>6</v>
      </c>
      <c r="D40" s="20" t="n">
        <v>7</v>
      </c>
      <c r="E40" s="20" t="n">
        <v>8</v>
      </c>
      <c r="F40" s="20" t="n">
        <v>9</v>
      </c>
      <c r="G40" s="20" t="n">
        <v>10</v>
      </c>
      <c r="I40" s="20" t="n">
        <v>8</v>
      </c>
      <c r="J40" s="20" t="n">
        <v>9</v>
      </c>
      <c r="K40" s="20" t="n">
        <v>10</v>
      </c>
      <c r="L40" s="20" t="n">
        <v>11</v>
      </c>
      <c r="M40" s="20" t="n">
        <v>12</v>
      </c>
      <c r="N40" s="20" t="n">
        <v>13</v>
      </c>
      <c r="O40" s="20" t="n">
        <v>14</v>
      </c>
      <c r="Q40" s="20" t="n">
        <v>5</v>
      </c>
      <c r="R40" s="20" t="n">
        <v>6</v>
      </c>
      <c r="S40" s="20" t="n">
        <v>7</v>
      </c>
      <c r="T40" s="20" t="n">
        <v>8</v>
      </c>
      <c r="U40" s="20" t="n">
        <v>9</v>
      </c>
      <c r="V40" s="20" t="n">
        <v>10</v>
      </c>
      <c r="W40" s="20" t="n">
        <v>11</v>
      </c>
    </row>
    <row r="41">
      <c r="A41" s="22">
        <f>IF(OR('Start here'!$B$5="",UPPER(SUBSTITUTE('Start here'!$B$6," ",""))=""),"",MID(UPPER(SUBSTITUTE('Start here'!$B$6," ","")),MOD(DATE(2027,7,4)-'Start here'!$B$5,LEN(UPPER(SUBSTITUTE('Start here'!$B$6," ",""))))+1,1))</f>
        <v/>
      </c>
      <c r="B41" s="22">
        <f>IF(OR('Start here'!$B$5="",UPPER(SUBSTITUTE('Start here'!$B$6," ",""))=""),"",MID(UPPER(SUBSTITUTE('Start here'!$B$6," ","")),MOD(DATE(2027,7,5)-'Start here'!$B$5,LEN(UPPER(SUBSTITUTE('Start here'!$B$6," ",""))))+1,1))</f>
        <v/>
      </c>
      <c r="C41" s="22">
        <f>IF(OR('Start here'!$B$5="",UPPER(SUBSTITUTE('Start here'!$B$6," ",""))=""),"",MID(UPPER(SUBSTITUTE('Start here'!$B$6," ","")),MOD(DATE(2027,7,6)-'Start here'!$B$5,LEN(UPPER(SUBSTITUTE('Start here'!$B$6," ",""))))+1,1))</f>
        <v/>
      </c>
      <c r="D41" s="22">
        <f>IF(OR('Start here'!$B$5="",UPPER(SUBSTITUTE('Start here'!$B$6," ",""))=""),"",MID(UPPER(SUBSTITUTE('Start here'!$B$6," ","")),MOD(DATE(2027,7,7)-'Start here'!$B$5,LEN(UPPER(SUBSTITUTE('Start here'!$B$6," ",""))))+1,1))</f>
        <v/>
      </c>
      <c r="E41" s="22">
        <f>IF(OR('Start here'!$B$5="",UPPER(SUBSTITUTE('Start here'!$B$6," ",""))=""),"",MID(UPPER(SUBSTITUTE('Start here'!$B$6," ","")),MOD(DATE(2027,7,8)-'Start here'!$B$5,LEN(UPPER(SUBSTITUTE('Start here'!$B$6," ",""))))+1,1))</f>
        <v/>
      </c>
      <c r="F41" s="22">
        <f>IF(OR('Start here'!$B$5="",UPPER(SUBSTITUTE('Start here'!$B$6," ",""))=""),"",MID(UPPER(SUBSTITUTE('Start here'!$B$6," ","")),MOD(DATE(2027,7,9)-'Start here'!$B$5,LEN(UPPER(SUBSTITUTE('Start here'!$B$6," ",""))))+1,1))</f>
        <v/>
      </c>
      <c r="G41" s="22">
        <f>IF(OR('Start here'!$B$5="",UPPER(SUBSTITUTE('Start here'!$B$6," ",""))=""),"",MID(UPPER(SUBSTITUTE('Start here'!$B$6," ","")),MOD(DATE(2027,7,10)-'Start here'!$B$5,LEN(UPPER(SUBSTITUTE('Start here'!$B$6," ",""))))+1,1))</f>
        <v/>
      </c>
      <c r="I41" s="22">
        <f>IF(OR('Start here'!$B$5="",UPPER(SUBSTITUTE('Start here'!$B$6," ",""))=""),"",MID(UPPER(SUBSTITUTE('Start here'!$B$6," ","")),MOD(DATE(2027,8,8)-'Start here'!$B$5,LEN(UPPER(SUBSTITUTE('Start here'!$B$6," ",""))))+1,1))</f>
        <v/>
      </c>
      <c r="J41" s="22">
        <f>IF(OR('Start here'!$B$5="",UPPER(SUBSTITUTE('Start here'!$B$6," ",""))=""),"",MID(UPPER(SUBSTITUTE('Start here'!$B$6," ","")),MOD(DATE(2027,8,9)-'Start here'!$B$5,LEN(UPPER(SUBSTITUTE('Start here'!$B$6," ",""))))+1,1))</f>
        <v/>
      </c>
      <c r="K41" s="22">
        <f>IF(OR('Start here'!$B$5="",UPPER(SUBSTITUTE('Start here'!$B$6," ",""))=""),"",MID(UPPER(SUBSTITUTE('Start here'!$B$6," ","")),MOD(DATE(2027,8,10)-'Start here'!$B$5,LEN(UPPER(SUBSTITUTE('Start here'!$B$6," ",""))))+1,1))</f>
        <v/>
      </c>
      <c r="L41" s="22">
        <f>IF(OR('Start here'!$B$5="",UPPER(SUBSTITUTE('Start here'!$B$6," ",""))=""),"",MID(UPPER(SUBSTITUTE('Start here'!$B$6," ","")),MOD(DATE(2027,8,11)-'Start here'!$B$5,LEN(UPPER(SUBSTITUTE('Start here'!$B$6," ",""))))+1,1))</f>
        <v/>
      </c>
      <c r="M41" s="22">
        <f>IF(OR('Start here'!$B$5="",UPPER(SUBSTITUTE('Start here'!$B$6," ",""))=""),"",MID(UPPER(SUBSTITUTE('Start here'!$B$6," ","")),MOD(DATE(2027,8,12)-'Start here'!$B$5,LEN(UPPER(SUBSTITUTE('Start here'!$B$6," ",""))))+1,1))</f>
        <v/>
      </c>
      <c r="N41" s="22">
        <f>IF(OR('Start here'!$B$5="",UPPER(SUBSTITUTE('Start here'!$B$6," ",""))=""),"",MID(UPPER(SUBSTITUTE('Start here'!$B$6," ","")),MOD(DATE(2027,8,13)-'Start here'!$B$5,LEN(UPPER(SUBSTITUTE('Start here'!$B$6," ",""))))+1,1))</f>
        <v/>
      </c>
      <c r="O41" s="22">
        <f>IF(OR('Start here'!$B$5="",UPPER(SUBSTITUTE('Start here'!$B$6," ",""))=""),"",MID(UPPER(SUBSTITUTE('Start here'!$B$6," ","")),MOD(DATE(2027,8,14)-'Start here'!$B$5,LEN(UPPER(SUBSTITUTE('Start here'!$B$6," ",""))))+1,1))</f>
        <v/>
      </c>
      <c r="Q41" s="22">
        <f>IF(OR('Start here'!$B$5="",UPPER(SUBSTITUTE('Start here'!$B$6," ",""))=""),"",MID(UPPER(SUBSTITUTE('Start here'!$B$6," ","")),MOD(DATE(2027,9,5)-'Start here'!$B$5,LEN(UPPER(SUBSTITUTE('Start here'!$B$6," ",""))))+1,1))</f>
        <v/>
      </c>
      <c r="R41" s="22">
        <f>IF(OR('Start here'!$B$5="",UPPER(SUBSTITUTE('Start here'!$B$6," ",""))=""),"",MID(UPPER(SUBSTITUTE('Start here'!$B$6," ","")),MOD(DATE(2027,9,6)-'Start here'!$B$5,LEN(UPPER(SUBSTITUTE('Start here'!$B$6," ",""))))+1,1))</f>
        <v/>
      </c>
      <c r="S41" s="22">
        <f>IF(OR('Start here'!$B$5="",UPPER(SUBSTITUTE('Start here'!$B$6," ",""))=""),"",MID(UPPER(SUBSTITUTE('Start here'!$B$6," ","")),MOD(DATE(2027,9,7)-'Start here'!$B$5,LEN(UPPER(SUBSTITUTE('Start here'!$B$6," ",""))))+1,1))</f>
        <v/>
      </c>
      <c r="T41" s="22">
        <f>IF(OR('Start here'!$B$5="",UPPER(SUBSTITUTE('Start here'!$B$6," ",""))=""),"",MID(UPPER(SUBSTITUTE('Start here'!$B$6," ","")),MOD(DATE(2027,9,8)-'Start here'!$B$5,LEN(UPPER(SUBSTITUTE('Start here'!$B$6," ",""))))+1,1))</f>
        <v/>
      </c>
      <c r="U41" s="22">
        <f>IF(OR('Start here'!$B$5="",UPPER(SUBSTITUTE('Start here'!$B$6," ",""))=""),"",MID(UPPER(SUBSTITUTE('Start here'!$B$6," ","")),MOD(DATE(2027,9,9)-'Start here'!$B$5,LEN(UPPER(SUBSTITUTE('Start here'!$B$6," ",""))))+1,1))</f>
        <v/>
      </c>
      <c r="V41" s="22">
        <f>IF(OR('Start here'!$B$5="",UPPER(SUBSTITUTE('Start here'!$B$6," ",""))=""),"",MID(UPPER(SUBSTITUTE('Start here'!$B$6," ","")),MOD(DATE(2027,9,10)-'Start here'!$B$5,LEN(UPPER(SUBSTITUTE('Start here'!$B$6," ",""))))+1,1))</f>
        <v/>
      </c>
      <c r="W41" s="22">
        <f>IF(OR('Start here'!$B$5="",UPPER(SUBSTITUTE('Start here'!$B$6," ",""))=""),"",MID(UPPER(SUBSTITUTE('Start here'!$B$6," ","")),MOD(DATE(2027,9,11)-'Start here'!$B$5,LEN(UPPER(SUBSTITUTE('Start here'!$B$6," ",""))))+1,1))</f>
        <v/>
      </c>
    </row>
    <row r="42">
      <c r="A42" s="20" t="n">
        <v>11</v>
      </c>
      <c r="B42" s="20" t="n">
        <v>12</v>
      </c>
      <c r="C42" s="20" t="n">
        <v>13</v>
      </c>
      <c r="D42" s="20" t="n">
        <v>14</v>
      </c>
      <c r="E42" s="20" t="n">
        <v>15</v>
      </c>
      <c r="F42" s="20" t="n">
        <v>16</v>
      </c>
      <c r="G42" s="20" t="n">
        <v>17</v>
      </c>
      <c r="I42" s="20" t="n">
        <v>15</v>
      </c>
      <c r="J42" s="20" t="n">
        <v>16</v>
      </c>
      <c r="K42" s="20" t="n">
        <v>17</v>
      </c>
      <c r="L42" s="20" t="n">
        <v>18</v>
      </c>
      <c r="M42" s="20" t="n">
        <v>19</v>
      </c>
      <c r="N42" s="20" t="n">
        <v>20</v>
      </c>
      <c r="O42" s="20" t="n">
        <v>21</v>
      </c>
      <c r="Q42" s="20" t="n">
        <v>12</v>
      </c>
      <c r="R42" s="20" t="n">
        <v>13</v>
      </c>
      <c r="S42" s="20" t="n">
        <v>14</v>
      </c>
      <c r="T42" s="20" t="n">
        <v>15</v>
      </c>
      <c r="U42" s="20" t="n">
        <v>16</v>
      </c>
      <c r="V42" s="20" t="n">
        <v>17</v>
      </c>
      <c r="W42" s="20" t="n">
        <v>18</v>
      </c>
    </row>
    <row r="43">
      <c r="A43" s="22">
        <f>IF(OR('Start here'!$B$5="",UPPER(SUBSTITUTE('Start here'!$B$6," ",""))=""),"",MID(UPPER(SUBSTITUTE('Start here'!$B$6," ","")),MOD(DATE(2027,7,11)-'Start here'!$B$5,LEN(UPPER(SUBSTITUTE('Start here'!$B$6," ",""))))+1,1))</f>
        <v/>
      </c>
      <c r="B43" s="22">
        <f>IF(OR('Start here'!$B$5="",UPPER(SUBSTITUTE('Start here'!$B$6," ",""))=""),"",MID(UPPER(SUBSTITUTE('Start here'!$B$6," ","")),MOD(DATE(2027,7,12)-'Start here'!$B$5,LEN(UPPER(SUBSTITUTE('Start here'!$B$6," ",""))))+1,1))</f>
        <v/>
      </c>
      <c r="C43" s="22">
        <f>IF(OR('Start here'!$B$5="",UPPER(SUBSTITUTE('Start here'!$B$6," ",""))=""),"",MID(UPPER(SUBSTITUTE('Start here'!$B$6," ","")),MOD(DATE(2027,7,13)-'Start here'!$B$5,LEN(UPPER(SUBSTITUTE('Start here'!$B$6," ",""))))+1,1))</f>
        <v/>
      </c>
      <c r="D43" s="22">
        <f>IF(OR('Start here'!$B$5="",UPPER(SUBSTITUTE('Start here'!$B$6," ",""))=""),"",MID(UPPER(SUBSTITUTE('Start here'!$B$6," ","")),MOD(DATE(2027,7,14)-'Start here'!$B$5,LEN(UPPER(SUBSTITUTE('Start here'!$B$6," ",""))))+1,1))</f>
        <v/>
      </c>
      <c r="E43" s="22">
        <f>IF(OR('Start here'!$B$5="",UPPER(SUBSTITUTE('Start here'!$B$6," ",""))=""),"",MID(UPPER(SUBSTITUTE('Start here'!$B$6," ","")),MOD(DATE(2027,7,15)-'Start here'!$B$5,LEN(UPPER(SUBSTITUTE('Start here'!$B$6," ",""))))+1,1))</f>
        <v/>
      </c>
      <c r="F43" s="22">
        <f>IF(OR('Start here'!$B$5="",UPPER(SUBSTITUTE('Start here'!$B$6," ",""))=""),"",MID(UPPER(SUBSTITUTE('Start here'!$B$6," ","")),MOD(DATE(2027,7,16)-'Start here'!$B$5,LEN(UPPER(SUBSTITUTE('Start here'!$B$6," ",""))))+1,1))</f>
        <v/>
      </c>
      <c r="G43" s="22">
        <f>IF(OR('Start here'!$B$5="",UPPER(SUBSTITUTE('Start here'!$B$6," ",""))=""),"",MID(UPPER(SUBSTITUTE('Start here'!$B$6," ","")),MOD(DATE(2027,7,17)-'Start here'!$B$5,LEN(UPPER(SUBSTITUTE('Start here'!$B$6," ",""))))+1,1))</f>
        <v/>
      </c>
      <c r="I43" s="22">
        <f>IF(OR('Start here'!$B$5="",UPPER(SUBSTITUTE('Start here'!$B$6," ",""))=""),"",MID(UPPER(SUBSTITUTE('Start here'!$B$6," ","")),MOD(DATE(2027,8,15)-'Start here'!$B$5,LEN(UPPER(SUBSTITUTE('Start here'!$B$6," ",""))))+1,1))</f>
        <v/>
      </c>
      <c r="J43" s="22">
        <f>IF(OR('Start here'!$B$5="",UPPER(SUBSTITUTE('Start here'!$B$6," ",""))=""),"",MID(UPPER(SUBSTITUTE('Start here'!$B$6," ","")),MOD(DATE(2027,8,16)-'Start here'!$B$5,LEN(UPPER(SUBSTITUTE('Start here'!$B$6," ",""))))+1,1))</f>
        <v/>
      </c>
      <c r="K43" s="22">
        <f>IF(OR('Start here'!$B$5="",UPPER(SUBSTITUTE('Start here'!$B$6," ",""))=""),"",MID(UPPER(SUBSTITUTE('Start here'!$B$6," ","")),MOD(DATE(2027,8,17)-'Start here'!$B$5,LEN(UPPER(SUBSTITUTE('Start here'!$B$6," ",""))))+1,1))</f>
        <v/>
      </c>
      <c r="L43" s="22">
        <f>IF(OR('Start here'!$B$5="",UPPER(SUBSTITUTE('Start here'!$B$6," ",""))=""),"",MID(UPPER(SUBSTITUTE('Start here'!$B$6," ","")),MOD(DATE(2027,8,18)-'Start here'!$B$5,LEN(UPPER(SUBSTITUTE('Start here'!$B$6," ",""))))+1,1))</f>
        <v/>
      </c>
      <c r="M43" s="22">
        <f>IF(OR('Start here'!$B$5="",UPPER(SUBSTITUTE('Start here'!$B$6," ",""))=""),"",MID(UPPER(SUBSTITUTE('Start here'!$B$6," ","")),MOD(DATE(2027,8,19)-'Start here'!$B$5,LEN(UPPER(SUBSTITUTE('Start here'!$B$6," ",""))))+1,1))</f>
        <v/>
      </c>
      <c r="N43" s="22">
        <f>IF(OR('Start here'!$B$5="",UPPER(SUBSTITUTE('Start here'!$B$6," ",""))=""),"",MID(UPPER(SUBSTITUTE('Start here'!$B$6," ","")),MOD(DATE(2027,8,20)-'Start here'!$B$5,LEN(UPPER(SUBSTITUTE('Start here'!$B$6," ",""))))+1,1))</f>
        <v/>
      </c>
      <c r="O43" s="22">
        <f>IF(OR('Start here'!$B$5="",UPPER(SUBSTITUTE('Start here'!$B$6," ",""))=""),"",MID(UPPER(SUBSTITUTE('Start here'!$B$6," ","")),MOD(DATE(2027,8,21)-'Start here'!$B$5,LEN(UPPER(SUBSTITUTE('Start here'!$B$6," ",""))))+1,1))</f>
        <v/>
      </c>
      <c r="Q43" s="22">
        <f>IF(OR('Start here'!$B$5="",UPPER(SUBSTITUTE('Start here'!$B$6," ",""))=""),"",MID(UPPER(SUBSTITUTE('Start here'!$B$6," ","")),MOD(DATE(2027,9,12)-'Start here'!$B$5,LEN(UPPER(SUBSTITUTE('Start here'!$B$6," ",""))))+1,1))</f>
        <v/>
      </c>
      <c r="R43" s="22">
        <f>IF(OR('Start here'!$B$5="",UPPER(SUBSTITUTE('Start here'!$B$6," ",""))=""),"",MID(UPPER(SUBSTITUTE('Start here'!$B$6," ","")),MOD(DATE(2027,9,13)-'Start here'!$B$5,LEN(UPPER(SUBSTITUTE('Start here'!$B$6," ",""))))+1,1))</f>
        <v/>
      </c>
      <c r="S43" s="22">
        <f>IF(OR('Start here'!$B$5="",UPPER(SUBSTITUTE('Start here'!$B$6," ",""))=""),"",MID(UPPER(SUBSTITUTE('Start here'!$B$6," ","")),MOD(DATE(2027,9,14)-'Start here'!$B$5,LEN(UPPER(SUBSTITUTE('Start here'!$B$6," ",""))))+1,1))</f>
        <v/>
      </c>
      <c r="T43" s="22">
        <f>IF(OR('Start here'!$B$5="",UPPER(SUBSTITUTE('Start here'!$B$6," ",""))=""),"",MID(UPPER(SUBSTITUTE('Start here'!$B$6," ","")),MOD(DATE(2027,9,15)-'Start here'!$B$5,LEN(UPPER(SUBSTITUTE('Start here'!$B$6," ",""))))+1,1))</f>
        <v/>
      </c>
      <c r="U43" s="22">
        <f>IF(OR('Start here'!$B$5="",UPPER(SUBSTITUTE('Start here'!$B$6," ",""))=""),"",MID(UPPER(SUBSTITUTE('Start here'!$B$6," ","")),MOD(DATE(2027,9,16)-'Start here'!$B$5,LEN(UPPER(SUBSTITUTE('Start here'!$B$6," ",""))))+1,1))</f>
        <v/>
      </c>
      <c r="V43" s="22">
        <f>IF(OR('Start here'!$B$5="",UPPER(SUBSTITUTE('Start here'!$B$6," ",""))=""),"",MID(UPPER(SUBSTITUTE('Start here'!$B$6," ","")),MOD(DATE(2027,9,17)-'Start here'!$B$5,LEN(UPPER(SUBSTITUTE('Start here'!$B$6," ",""))))+1,1))</f>
        <v/>
      </c>
      <c r="W43" s="22">
        <f>IF(OR('Start here'!$B$5="",UPPER(SUBSTITUTE('Start here'!$B$6," ",""))=""),"",MID(UPPER(SUBSTITUTE('Start here'!$B$6," ","")),MOD(DATE(2027,9,18)-'Start here'!$B$5,LEN(UPPER(SUBSTITUTE('Start here'!$B$6," ",""))))+1,1))</f>
        <v/>
      </c>
    </row>
    <row r="44">
      <c r="A44" s="20" t="n">
        <v>18</v>
      </c>
      <c r="B44" s="20" t="n">
        <v>19</v>
      </c>
      <c r="C44" s="20" t="n">
        <v>20</v>
      </c>
      <c r="D44" s="20" t="n">
        <v>21</v>
      </c>
      <c r="E44" s="20" t="n">
        <v>22</v>
      </c>
      <c r="F44" s="20" t="n">
        <v>23</v>
      </c>
      <c r="G44" s="20" t="n">
        <v>24</v>
      </c>
      <c r="I44" s="20" t="n">
        <v>22</v>
      </c>
      <c r="J44" s="20" t="n">
        <v>23</v>
      </c>
      <c r="K44" s="20" t="n">
        <v>24</v>
      </c>
      <c r="L44" s="20" t="n">
        <v>25</v>
      </c>
      <c r="M44" s="20" t="n">
        <v>26</v>
      </c>
      <c r="N44" s="20" t="n">
        <v>27</v>
      </c>
      <c r="O44" s="20" t="n">
        <v>28</v>
      </c>
      <c r="Q44" s="20" t="n">
        <v>19</v>
      </c>
      <c r="R44" s="20" t="n">
        <v>20</v>
      </c>
      <c r="S44" s="20" t="n">
        <v>21</v>
      </c>
      <c r="T44" s="20" t="n">
        <v>22</v>
      </c>
      <c r="U44" s="20" t="n">
        <v>23</v>
      </c>
      <c r="V44" s="20" t="n">
        <v>24</v>
      </c>
      <c r="W44" s="20" t="n">
        <v>25</v>
      </c>
    </row>
    <row r="45">
      <c r="A45" s="22">
        <f>IF(OR('Start here'!$B$5="",UPPER(SUBSTITUTE('Start here'!$B$6," ",""))=""),"",MID(UPPER(SUBSTITUTE('Start here'!$B$6," ","")),MOD(DATE(2027,7,18)-'Start here'!$B$5,LEN(UPPER(SUBSTITUTE('Start here'!$B$6," ",""))))+1,1))</f>
        <v/>
      </c>
      <c r="B45" s="22">
        <f>IF(OR('Start here'!$B$5="",UPPER(SUBSTITUTE('Start here'!$B$6," ",""))=""),"",MID(UPPER(SUBSTITUTE('Start here'!$B$6," ","")),MOD(DATE(2027,7,19)-'Start here'!$B$5,LEN(UPPER(SUBSTITUTE('Start here'!$B$6," ",""))))+1,1))</f>
        <v/>
      </c>
      <c r="C45" s="22">
        <f>IF(OR('Start here'!$B$5="",UPPER(SUBSTITUTE('Start here'!$B$6," ",""))=""),"",MID(UPPER(SUBSTITUTE('Start here'!$B$6," ","")),MOD(DATE(2027,7,20)-'Start here'!$B$5,LEN(UPPER(SUBSTITUTE('Start here'!$B$6," ",""))))+1,1))</f>
        <v/>
      </c>
      <c r="D45" s="22">
        <f>IF(OR('Start here'!$B$5="",UPPER(SUBSTITUTE('Start here'!$B$6," ",""))=""),"",MID(UPPER(SUBSTITUTE('Start here'!$B$6," ","")),MOD(DATE(2027,7,21)-'Start here'!$B$5,LEN(UPPER(SUBSTITUTE('Start here'!$B$6," ",""))))+1,1))</f>
        <v/>
      </c>
      <c r="E45" s="22">
        <f>IF(OR('Start here'!$B$5="",UPPER(SUBSTITUTE('Start here'!$B$6," ",""))=""),"",MID(UPPER(SUBSTITUTE('Start here'!$B$6," ","")),MOD(DATE(2027,7,22)-'Start here'!$B$5,LEN(UPPER(SUBSTITUTE('Start here'!$B$6," ",""))))+1,1))</f>
        <v/>
      </c>
      <c r="F45" s="22">
        <f>IF(OR('Start here'!$B$5="",UPPER(SUBSTITUTE('Start here'!$B$6," ",""))=""),"",MID(UPPER(SUBSTITUTE('Start here'!$B$6," ","")),MOD(DATE(2027,7,23)-'Start here'!$B$5,LEN(UPPER(SUBSTITUTE('Start here'!$B$6," ",""))))+1,1))</f>
        <v/>
      </c>
      <c r="G45" s="22">
        <f>IF(OR('Start here'!$B$5="",UPPER(SUBSTITUTE('Start here'!$B$6," ",""))=""),"",MID(UPPER(SUBSTITUTE('Start here'!$B$6," ","")),MOD(DATE(2027,7,24)-'Start here'!$B$5,LEN(UPPER(SUBSTITUTE('Start here'!$B$6," ",""))))+1,1))</f>
        <v/>
      </c>
      <c r="I45" s="22">
        <f>IF(OR('Start here'!$B$5="",UPPER(SUBSTITUTE('Start here'!$B$6," ",""))=""),"",MID(UPPER(SUBSTITUTE('Start here'!$B$6," ","")),MOD(DATE(2027,8,22)-'Start here'!$B$5,LEN(UPPER(SUBSTITUTE('Start here'!$B$6," ",""))))+1,1))</f>
        <v/>
      </c>
      <c r="J45" s="22">
        <f>IF(OR('Start here'!$B$5="",UPPER(SUBSTITUTE('Start here'!$B$6," ",""))=""),"",MID(UPPER(SUBSTITUTE('Start here'!$B$6," ","")),MOD(DATE(2027,8,23)-'Start here'!$B$5,LEN(UPPER(SUBSTITUTE('Start here'!$B$6," ",""))))+1,1))</f>
        <v/>
      </c>
      <c r="K45" s="22">
        <f>IF(OR('Start here'!$B$5="",UPPER(SUBSTITUTE('Start here'!$B$6," ",""))=""),"",MID(UPPER(SUBSTITUTE('Start here'!$B$6," ","")),MOD(DATE(2027,8,24)-'Start here'!$B$5,LEN(UPPER(SUBSTITUTE('Start here'!$B$6," ",""))))+1,1))</f>
        <v/>
      </c>
      <c r="L45" s="22">
        <f>IF(OR('Start here'!$B$5="",UPPER(SUBSTITUTE('Start here'!$B$6," ",""))=""),"",MID(UPPER(SUBSTITUTE('Start here'!$B$6," ","")),MOD(DATE(2027,8,25)-'Start here'!$B$5,LEN(UPPER(SUBSTITUTE('Start here'!$B$6," ",""))))+1,1))</f>
        <v/>
      </c>
      <c r="M45" s="22">
        <f>IF(OR('Start here'!$B$5="",UPPER(SUBSTITUTE('Start here'!$B$6," ",""))=""),"",MID(UPPER(SUBSTITUTE('Start here'!$B$6," ","")),MOD(DATE(2027,8,26)-'Start here'!$B$5,LEN(UPPER(SUBSTITUTE('Start here'!$B$6," ",""))))+1,1))</f>
        <v/>
      </c>
      <c r="N45" s="22">
        <f>IF(OR('Start here'!$B$5="",UPPER(SUBSTITUTE('Start here'!$B$6," ",""))=""),"",MID(UPPER(SUBSTITUTE('Start here'!$B$6," ","")),MOD(DATE(2027,8,27)-'Start here'!$B$5,LEN(UPPER(SUBSTITUTE('Start here'!$B$6," ",""))))+1,1))</f>
        <v/>
      </c>
      <c r="O45" s="22">
        <f>IF(OR('Start here'!$B$5="",UPPER(SUBSTITUTE('Start here'!$B$6," ",""))=""),"",MID(UPPER(SUBSTITUTE('Start here'!$B$6," ","")),MOD(DATE(2027,8,28)-'Start here'!$B$5,LEN(UPPER(SUBSTITUTE('Start here'!$B$6," ",""))))+1,1))</f>
        <v/>
      </c>
      <c r="Q45" s="22">
        <f>IF(OR('Start here'!$B$5="",UPPER(SUBSTITUTE('Start here'!$B$6," ",""))=""),"",MID(UPPER(SUBSTITUTE('Start here'!$B$6," ","")),MOD(DATE(2027,9,19)-'Start here'!$B$5,LEN(UPPER(SUBSTITUTE('Start here'!$B$6," ",""))))+1,1))</f>
        <v/>
      </c>
      <c r="R45" s="22">
        <f>IF(OR('Start here'!$B$5="",UPPER(SUBSTITUTE('Start here'!$B$6," ",""))=""),"",MID(UPPER(SUBSTITUTE('Start here'!$B$6," ","")),MOD(DATE(2027,9,20)-'Start here'!$B$5,LEN(UPPER(SUBSTITUTE('Start here'!$B$6," ",""))))+1,1))</f>
        <v/>
      </c>
      <c r="S45" s="22">
        <f>IF(OR('Start here'!$B$5="",UPPER(SUBSTITUTE('Start here'!$B$6," ",""))=""),"",MID(UPPER(SUBSTITUTE('Start here'!$B$6," ","")),MOD(DATE(2027,9,21)-'Start here'!$B$5,LEN(UPPER(SUBSTITUTE('Start here'!$B$6," ",""))))+1,1))</f>
        <v/>
      </c>
      <c r="T45" s="22">
        <f>IF(OR('Start here'!$B$5="",UPPER(SUBSTITUTE('Start here'!$B$6," ",""))=""),"",MID(UPPER(SUBSTITUTE('Start here'!$B$6," ","")),MOD(DATE(2027,9,22)-'Start here'!$B$5,LEN(UPPER(SUBSTITUTE('Start here'!$B$6," ",""))))+1,1))</f>
        <v/>
      </c>
      <c r="U45" s="22">
        <f>IF(OR('Start here'!$B$5="",UPPER(SUBSTITUTE('Start here'!$B$6," ",""))=""),"",MID(UPPER(SUBSTITUTE('Start here'!$B$6," ","")),MOD(DATE(2027,9,23)-'Start here'!$B$5,LEN(UPPER(SUBSTITUTE('Start here'!$B$6," ",""))))+1,1))</f>
        <v/>
      </c>
      <c r="V45" s="22">
        <f>IF(OR('Start here'!$B$5="",UPPER(SUBSTITUTE('Start here'!$B$6," ",""))=""),"",MID(UPPER(SUBSTITUTE('Start here'!$B$6," ","")),MOD(DATE(2027,9,24)-'Start here'!$B$5,LEN(UPPER(SUBSTITUTE('Start here'!$B$6," ",""))))+1,1))</f>
        <v/>
      </c>
      <c r="W45" s="22">
        <f>IF(OR('Start here'!$B$5="",UPPER(SUBSTITUTE('Start here'!$B$6," ",""))=""),"",MID(UPPER(SUBSTITUTE('Start here'!$B$6," ","")),MOD(DATE(2027,9,25)-'Start here'!$B$5,LEN(UPPER(SUBSTITUTE('Start here'!$B$6," ",""))))+1,1))</f>
        <v/>
      </c>
    </row>
    <row r="46">
      <c r="A46" s="20" t="n">
        <v>25</v>
      </c>
      <c r="B46" s="20" t="n">
        <v>26</v>
      </c>
      <c r="C46" s="20" t="n">
        <v>27</v>
      </c>
      <c r="D46" s="20" t="n">
        <v>28</v>
      </c>
      <c r="E46" s="20" t="n">
        <v>29</v>
      </c>
      <c r="F46" s="20" t="n">
        <v>30</v>
      </c>
      <c r="G46" s="20" t="n">
        <v>31</v>
      </c>
      <c r="I46" s="20" t="n">
        <v>29</v>
      </c>
      <c r="J46" s="20" t="n">
        <v>30</v>
      </c>
      <c r="K46" s="20" t="n">
        <v>31</v>
      </c>
      <c r="L46" s="19" t="n"/>
      <c r="M46" s="19" t="n"/>
      <c r="N46" s="19" t="n"/>
      <c r="O46" s="19" t="n"/>
      <c r="Q46" s="20" t="n">
        <v>26</v>
      </c>
      <c r="R46" s="20" t="n">
        <v>27</v>
      </c>
      <c r="S46" s="20" t="n">
        <v>28</v>
      </c>
      <c r="T46" s="20" t="n">
        <v>29</v>
      </c>
      <c r="U46" s="20" t="n">
        <v>30</v>
      </c>
      <c r="V46" s="19" t="n"/>
      <c r="W46" s="19" t="n"/>
    </row>
    <row r="47">
      <c r="A47" s="22">
        <f>IF(OR('Start here'!$B$5="",UPPER(SUBSTITUTE('Start here'!$B$6," ",""))=""),"",MID(UPPER(SUBSTITUTE('Start here'!$B$6," ","")),MOD(DATE(2027,7,25)-'Start here'!$B$5,LEN(UPPER(SUBSTITUTE('Start here'!$B$6," ",""))))+1,1))</f>
        <v/>
      </c>
      <c r="B47" s="22">
        <f>IF(OR('Start here'!$B$5="",UPPER(SUBSTITUTE('Start here'!$B$6," ",""))=""),"",MID(UPPER(SUBSTITUTE('Start here'!$B$6," ","")),MOD(DATE(2027,7,26)-'Start here'!$B$5,LEN(UPPER(SUBSTITUTE('Start here'!$B$6," ",""))))+1,1))</f>
        <v/>
      </c>
      <c r="C47" s="22">
        <f>IF(OR('Start here'!$B$5="",UPPER(SUBSTITUTE('Start here'!$B$6," ",""))=""),"",MID(UPPER(SUBSTITUTE('Start here'!$B$6," ","")),MOD(DATE(2027,7,27)-'Start here'!$B$5,LEN(UPPER(SUBSTITUTE('Start here'!$B$6," ",""))))+1,1))</f>
        <v/>
      </c>
      <c r="D47" s="22">
        <f>IF(OR('Start here'!$B$5="",UPPER(SUBSTITUTE('Start here'!$B$6," ",""))=""),"",MID(UPPER(SUBSTITUTE('Start here'!$B$6," ","")),MOD(DATE(2027,7,28)-'Start here'!$B$5,LEN(UPPER(SUBSTITUTE('Start here'!$B$6," ",""))))+1,1))</f>
        <v/>
      </c>
      <c r="E47" s="22">
        <f>IF(OR('Start here'!$B$5="",UPPER(SUBSTITUTE('Start here'!$B$6," ",""))=""),"",MID(UPPER(SUBSTITUTE('Start here'!$B$6," ","")),MOD(DATE(2027,7,29)-'Start here'!$B$5,LEN(UPPER(SUBSTITUTE('Start here'!$B$6," ",""))))+1,1))</f>
        <v/>
      </c>
      <c r="F47" s="22">
        <f>IF(OR('Start here'!$B$5="",UPPER(SUBSTITUTE('Start here'!$B$6," ",""))=""),"",MID(UPPER(SUBSTITUTE('Start here'!$B$6," ","")),MOD(DATE(2027,7,30)-'Start here'!$B$5,LEN(UPPER(SUBSTITUTE('Start here'!$B$6," ",""))))+1,1))</f>
        <v/>
      </c>
      <c r="G47" s="22">
        <f>IF(OR('Start here'!$B$5="",UPPER(SUBSTITUTE('Start here'!$B$6," ",""))=""),"",MID(UPPER(SUBSTITUTE('Start here'!$B$6," ","")),MOD(DATE(2027,7,31)-'Start here'!$B$5,LEN(UPPER(SUBSTITUTE('Start here'!$B$6," ",""))))+1,1))</f>
        <v/>
      </c>
      <c r="I47" s="22">
        <f>IF(OR('Start here'!$B$5="",UPPER(SUBSTITUTE('Start here'!$B$6," ",""))=""),"",MID(UPPER(SUBSTITUTE('Start here'!$B$6," ","")),MOD(DATE(2027,8,29)-'Start here'!$B$5,LEN(UPPER(SUBSTITUTE('Start here'!$B$6," ",""))))+1,1))</f>
        <v/>
      </c>
      <c r="J47" s="22">
        <f>IF(OR('Start here'!$B$5="",UPPER(SUBSTITUTE('Start here'!$B$6," ",""))=""),"",MID(UPPER(SUBSTITUTE('Start here'!$B$6," ","")),MOD(DATE(2027,8,30)-'Start here'!$B$5,LEN(UPPER(SUBSTITUTE('Start here'!$B$6," ",""))))+1,1))</f>
        <v/>
      </c>
      <c r="K47" s="22">
        <f>IF(OR('Start here'!$B$5="",UPPER(SUBSTITUTE('Start here'!$B$6," ",""))=""),"",MID(UPPER(SUBSTITUTE('Start here'!$B$6," ","")),MOD(DATE(2027,8,31)-'Start here'!$B$5,LEN(UPPER(SUBSTITUTE('Start here'!$B$6," ",""))))+1,1))</f>
        <v/>
      </c>
      <c r="L47" s="21" t="n"/>
      <c r="M47" s="21" t="n"/>
      <c r="N47" s="21" t="n"/>
      <c r="O47" s="21" t="n"/>
      <c r="Q47" s="22">
        <f>IF(OR('Start here'!$B$5="",UPPER(SUBSTITUTE('Start here'!$B$6," ",""))=""),"",MID(UPPER(SUBSTITUTE('Start here'!$B$6," ","")),MOD(DATE(2027,9,26)-'Start here'!$B$5,LEN(UPPER(SUBSTITUTE('Start here'!$B$6," ",""))))+1,1))</f>
        <v/>
      </c>
      <c r="R47" s="22">
        <f>IF(OR('Start here'!$B$5="",UPPER(SUBSTITUTE('Start here'!$B$6," ",""))=""),"",MID(UPPER(SUBSTITUTE('Start here'!$B$6," ","")),MOD(DATE(2027,9,27)-'Start here'!$B$5,LEN(UPPER(SUBSTITUTE('Start here'!$B$6," ",""))))+1,1))</f>
        <v/>
      </c>
      <c r="S47" s="22">
        <f>IF(OR('Start here'!$B$5="",UPPER(SUBSTITUTE('Start here'!$B$6," ",""))=""),"",MID(UPPER(SUBSTITUTE('Start here'!$B$6," ","")),MOD(DATE(2027,9,28)-'Start here'!$B$5,LEN(UPPER(SUBSTITUTE('Start here'!$B$6," ",""))))+1,1))</f>
        <v/>
      </c>
      <c r="T47" s="22">
        <f>IF(OR('Start here'!$B$5="",UPPER(SUBSTITUTE('Start here'!$B$6," ",""))=""),"",MID(UPPER(SUBSTITUTE('Start here'!$B$6," ","")),MOD(DATE(2027,9,29)-'Start here'!$B$5,LEN(UPPER(SUBSTITUTE('Start here'!$B$6," ",""))))+1,1))</f>
        <v/>
      </c>
      <c r="U47" s="22">
        <f>IF(OR('Start here'!$B$5="",UPPER(SUBSTITUTE('Start here'!$B$6," ",""))=""),"",MID(UPPER(SUBSTITUTE('Start here'!$B$6," ","")),MOD(DATE(2027,9,30)-'Start here'!$B$5,LEN(UPPER(SUBSTITUTE('Start here'!$B$6," ",""))))+1,1))</f>
        <v/>
      </c>
      <c r="V47" s="21" t="n"/>
      <c r="W47" s="21" t="n"/>
    </row>
    <row r="48">
      <c r="A48" s="19" t="n"/>
      <c r="B48" s="19" t="n"/>
      <c r="C48" s="19" t="n"/>
      <c r="D48" s="19" t="n"/>
      <c r="E48" s="19" t="n"/>
      <c r="F48" s="19" t="n"/>
      <c r="G48" s="19" t="n"/>
      <c r="I48" s="19" t="n"/>
      <c r="J48" s="19" t="n"/>
      <c r="K48" s="19" t="n"/>
      <c r="L48" s="19" t="n"/>
      <c r="M48" s="19" t="n"/>
      <c r="N48" s="19" t="n"/>
      <c r="O48" s="19" t="n"/>
      <c r="Q48" s="19" t="n"/>
      <c r="R48" s="19" t="n"/>
      <c r="S48" s="19" t="n"/>
      <c r="T48" s="19" t="n"/>
      <c r="U48" s="19" t="n"/>
      <c r="V48" s="19" t="n"/>
      <c r="W48" s="19" t="n"/>
    </row>
    <row r="49">
      <c r="A49" s="21" t="n"/>
      <c r="B49" s="21" t="n"/>
      <c r="C49" s="21" t="n"/>
      <c r="D49" s="21" t="n"/>
      <c r="E49" s="21" t="n"/>
      <c r="F49" s="21" t="n"/>
      <c r="G49" s="21" t="n"/>
      <c r="I49" s="21" t="n"/>
      <c r="J49" s="21" t="n"/>
      <c r="K49" s="21" t="n"/>
      <c r="L49" s="21" t="n"/>
      <c r="M49" s="21" t="n"/>
      <c r="N49" s="21" t="n"/>
      <c r="O49" s="21" t="n"/>
      <c r="Q49" s="21" t="n"/>
      <c r="R49" s="21" t="n"/>
      <c r="S49" s="21" t="n"/>
      <c r="T49" s="21" t="n"/>
      <c r="U49" s="21" t="n"/>
      <c r="V49" s="21" t="n"/>
      <c r="W49" s="21" t="n"/>
    </row>
    <row r="50">
      <c r="A50" s="23" t="inlineStr">
        <is>
          <t>Nights A</t>
        </is>
      </c>
      <c r="C50" s="24">
        <f>COUNTIF(A39:G49,"A")</f>
        <v/>
      </c>
      <c r="E50" s="23" t="inlineStr">
        <is>
          <t>B</t>
        </is>
      </c>
      <c r="F50" s="24">
        <f>COUNTIF(A39:G49,"B")</f>
        <v/>
      </c>
      <c r="I50" s="23" t="inlineStr">
        <is>
          <t>Nights A</t>
        </is>
      </c>
      <c r="K50" s="24">
        <f>COUNTIF(I39:O49,"A")</f>
        <v/>
      </c>
      <c r="M50" s="23" t="inlineStr">
        <is>
          <t>B</t>
        </is>
      </c>
      <c r="N50" s="24">
        <f>COUNTIF(I39:O49,"B")</f>
        <v/>
      </c>
      <c r="Q50" s="23" t="inlineStr">
        <is>
          <t>Nights A</t>
        </is>
      </c>
      <c r="S50" s="24">
        <f>COUNTIF(Q39:W49,"A")</f>
        <v/>
      </c>
      <c r="U50" s="23" t="inlineStr">
        <is>
          <t>B</t>
        </is>
      </c>
      <c r="V50" s="24">
        <f>COUNTIF(Q39:W49,"B")</f>
        <v/>
      </c>
    </row>
    <row r="52">
      <c r="A52" s="16" t="inlineStr">
        <is>
          <t>October 2027</t>
        </is>
      </c>
      <c r="B52" s="17" t="n"/>
      <c r="C52" s="17" t="n"/>
      <c r="D52" s="17" t="n"/>
      <c r="E52" s="17" t="n"/>
      <c r="F52" s="17" t="n"/>
      <c r="G52" s="17" t="n"/>
      <c r="I52" s="16" t="inlineStr">
        <is>
          <t>November 2027</t>
        </is>
      </c>
      <c r="J52" s="17" t="n"/>
      <c r="K52" s="17" t="n"/>
      <c r="L52" s="17" t="n"/>
      <c r="M52" s="17" t="n"/>
      <c r="N52" s="17" t="n"/>
      <c r="O52" s="17" t="n"/>
      <c r="Q52" s="16" t="inlineStr">
        <is>
          <t>December 2027</t>
        </is>
      </c>
      <c r="R52" s="17" t="n"/>
      <c r="S52" s="17" t="n"/>
      <c r="T52" s="17" t="n"/>
      <c r="U52" s="17" t="n"/>
      <c r="V52" s="17" t="n"/>
      <c r="W52" s="17" t="n"/>
    </row>
    <row r="53">
      <c r="A53" s="18" t="inlineStr">
        <is>
          <t>S</t>
        </is>
      </c>
      <c r="B53" s="18" t="inlineStr">
        <is>
          <t>M</t>
        </is>
      </c>
      <c r="C53" s="18" t="inlineStr">
        <is>
          <t>T</t>
        </is>
      </c>
      <c r="D53" s="18" t="inlineStr">
        <is>
          <t>W</t>
        </is>
      </c>
      <c r="E53" s="18" t="inlineStr">
        <is>
          <t>T</t>
        </is>
      </c>
      <c r="F53" s="18" t="inlineStr">
        <is>
          <t>F</t>
        </is>
      </c>
      <c r="G53" s="18" t="inlineStr">
        <is>
          <t>S</t>
        </is>
      </c>
      <c r="I53" s="18" t="inlineStr">
        <is>
          <t>S</t>
        </is>
      </c>
      <c r="J53" s="18" t="inlineStr">
        <is>
          <t>M</t>
        </is>
      </c>
      <c r="K53" s="18" t="inlineStr">
        <is>
          <t>T</t>
        </is>
      </c>
      <c r="L53" s="18" t="inlineStr">
        <is>
          <t>W</t>
        </is>
      </c>
      <c r="M53" s="18" t="inlineStr">
        <is>
          <t>T</t>
        </is>
      </c>
      <c r="N53" s="18" t="inlineStr">
        <is>
          <t>F</t>
        </is>
      </c>
      <c r="O53" s="18" t="inlineStr">
        <is>
          <t>S</t>
        </is>
      </c>
      <c r="Q53" s="18" t="inlineStr">
        <is>
          <t>S</t>
        </is>
      </c>
      <c r="R53" s="18" t="inlineStr">
        <is>
          <t>M</t>
        </is>
      </c>
      <c r="S53" s="18" t="inlineStr">
        <is>
          <t>T</t>
        </is>
      </c>
      <c r="T53" s="18" t="inlineStr">
        <is>
          <t>W</t>
        </is>
      </c>
      <c r="U53" s="18" t="inlineStr">
        <is>
          <t>T</t>
        </is>
      </c>
      <c r="V53" s="18" t="inlineStr">
        <is>
          <t>F</t>
        </is>
      </c>
      <c r="W53" s="18" t="inlineStr">
        <is>
          <t>S</t>
        </is>
      </c>
    </row>
    <row r="54">
      <c r="A54" s="19" t="n"/>
      <c r="B54" s="19" t="n"/>
      <c r="C54" s="19" t="n"/>
      <c r="D54" s="19" t="n"/>
      <c r="E54" s="19" t="n"/>
      <c r="F54" s="20" t="n">
        <v>1</v>
      </c>
      <c r="G54" s="20" t="n">
        <v>2</v>
      </c>
      <c r="I54" s="19" t="n"/>
      <c r="J54" s="20" t="n">
        <v>1</v>
      </c>
      <c r="K54" s="20" t="n">
        <v>2</v>
      </c>
      <c r="L54" s="20" t="n">
        <v>3</v>
      </c>
      <c r="M54" s="20" t="n">
        <v>4</v>
      </c>
      <c r="N54" s="20" t="n">
        <v>5</v>
      </c>
      <c r="O54" s="20" t="n">
        <v>6</v>
      </c>
      <c r="Q54" s="19" t="n"/>
      <c r="R54" s="19" t="n"/>
      <c r="S54" s="19" t="n"/>
      <c r="T54" s="20" t="n">
        <v>1</v>
      </c>
      <c r="U54" s="20" t="n">
        <v>2</v>
      </c>
      <c r="V54" s="20" t="n">
        <v>3</v>
      </c>
      <c r="W54" s="20" t="n">
        <v>4</v>
      </c>
    </row>
    <row r="55">
      <c r="A55" s="21" t="n"/>
      <c r="B55" s="21" t="n"/>
      <c r="C55" s="21" t="n"/>
      <c r="D55" s="21" t="n"/>
      <c r="E55" s="21" t="n"/>
      <c r="F55" s="22">
        <f>IF(OR('Start here'!$B$5="",UPPER(SUBSTITUTE('Start here'!$B$6," ",""))=""),"",MID(UPPER(SUBSTITUTE('Start here'!$B$6," ","")),MOD(DATE(2027,10,1)-'Start here'!$B$5,LEN(UPPER(SUBSTITUTE('Start here'!$B$6," ",""))))+1,1))</f>
        <v/>
      </c>
      <c r="G55" s="22">
        <f>IF(OR('Start here'!$B$5="",UPPER(SUBSTITUTE('Start here'!$B$6," ",""))=""),"",MID(UPPER(SUBSTITUTE('Start here'!$B$6," ","")),MOD(DATE(2027,10,2)-'Start here'!$B$5,LEN(UPPER(SUBSTITUTE('Start here'!$B$6," ",""))))+1,1))</f>
        <v/>
      </c>
      <c r="I55" s="21" t="n"/>
      <c r="J55" s="22">
        <f>IF(OR('Start here'!$B$5="",UPPER(SUBSTITUTE('Start here'!$B$6," ",""))=""),"",MID(UPPER(SUBSTITUTE('Start here'!$B$6," ","")),MOD(DATE(2027,11,1)-'Start here'!$B$5,LEN(UPPER(SUBSTITUTE('Start here'!$B$6," ",""))))+1,1))</f>
        <v/>
      </c>
      <c r="K55" s="22">
        <f>IF(OR('Start here'!$B$5="",UPPER(SUBSTITUTE('Start here'!$B$6," ",""))=""),"",MID(UPPER(SUBSTITUTE('Start here'!$B$6," ","")),MOD(DATE(2027,11,2)-'Start here'!$B$5,LEN(UPPER(SUBSTITUTE('Start here'!$B$6," ",""))))+1,1))</f>
        <v/>
      </c>
      <c r="L55" s="22">
        <f>IF(OR('Start here'!$B$5="",UPPER(SUBSTITUTE('Start here'!$B$6," ",""))=""),"",MID(UPPER(SUBSTITUTE('Start here'!$B$6," ","")),MOD(DATE(2027,11,3)-'Start here'!$B$5,LEN(UPPER(SUBSTITUTE('Start here'!$B$6," ",""))))+1,1))</f>
        <v/>
      </c>
      <c r="M55" s="22">
        <f>IF(OR('Start here'!$B$5="",UPPER(SUBSTITUTE('Start here'!$B$6," ",""))=""),"",MID(UPPER(SUBSTITUTE('Start here'!$B$6," ","")),MOD(DATE(2027,11,4)-'Start here'!$B$5,LEN(UPPER(SUBSTITUTE('Start here'!$B$6," ",""))))+1,1))</f>
        <v/>
      </c>
      <c r="N55" s="22">
        <f>IF(OR('Start here'!$B$5="",UPPER(SUBSTITUTE('Start here'!$B$6," ",""))=""),"",MID(UPPER(SUBSTITUTE('Start here'!$B$6," ","")),MOD(DATE(2027,11,5)-'Start here'!$B$5,LEN(UPPER(SUBSTITUTE('Start here'!$B$6," ",""))))+1,1))</f>
        <v/>
      </c>
      <c r="O55" s="22">
        <f>IF(OR('Start here'!$B$5="",UPPER(SUBSTITUTE('Start here'!$B$6," ",""))=""),"",MID(UPPER(SUBSTITUTE('Start here'!$B$6," ","")),MOD(DATE(2027,11,6)-'Start here'!$B$5,LEN(UPPER(SUBSTITUTE('Start here'!$B$6," ",""))))+1,1))</f>
        <v/>
      </c>
      <c r="Q55" s="21" t="n"/>
      <c r="R55" s="21" t="n"/>
      <c r="S55" s="21" t="n"/>
      <c r="T55" s="22">
        <f>IF(OR('Start here'!$B$5="",UPPER(SUBSTITUTE('Start here'!$B$6," ",""))=""),"",MID(UPPER(SUBSTITUTE('Start here'!$B$6," ","")),MOD(DATE(2027,12,1)-'Start here'!$B$5,LEN(UPPER(SUBSTITUTE('Start here'!$B$6," ",""))))+1,1))</f>
        <v/>
      </c>
      <c r="U55" s="22">
        <f>IF(OR('Start here'!$B$5="",UPPER(SUBSTITUTE('Start here'!$B$6," ",""))=""),"",MID(UPPER(SUBSTITUTE('Start here'!$B$6," ","")),MOD(DATE(2027,12,2)-'Start here'!$B$5,LEN(UPPER(SUBSTITUTE('Start here'!$B$6," ",""))))+1,1))</f>
        <v/>
      </c>
      <c r="V55" s="22">
        <f>IF(OR('Start here'!$B$5="",UPPER(SUBSTITUTE('Start here'!$B$6," ",""))=""),"",MID(UPPER(SUBSTITUTE('Start here'!$B$6," ","")),MOD(DATE(2027,12,3)-'Start here'!$B$5,LEN(UPPER(SUBSTITUTE('Start here'!$B$6," ",""))))+1,1))</f>
        <v/>
      </c>
      <c r="W55" s="22">
        <f>IF(OR('Start here'!$B$5="",UPPER(SUBSTITUTE('Start here'!$B$6," ",""))=""),"",MID(UPPER(SUBSTITUTE('Start here'!$B$6," ","")),MOD(DATE(2027,12,4)-'Start here'!$B$5,LEN(UPPER(SUBSTITUTE('Start here'!$B$6," ",""))))+1,1))</f>
        <v/>
      </c>
    </row>
    <row r="56">
      <c r="A56" s="20" t="n">
        <v>3</v>
      </c>
      <c r="B56" s="20" t="n">
        <v>4</v>
      </c>
      <c r="C56" s="20" t="n">
        <v>5</v>
      </c>
      <c r="D56" s="20" t="n">
        <v>6</v>
      </c>
      <c r="E56" s="20" t="n">
        <v>7</v>
      </c>
      <c r="F56" s="20" t="n">
        <v>8</v>
      </c>
      <c r="G56" s="20" t="n">
        <v>9</v>
      </c>
      <c r="I56" s="20" t="n">
        <v>7</v>
      </c>
      <c r="J56" s="20" t="n">
        <v>8</v>
      </c>
      <c r="K56" s="20" t="n">
        <v>9</v>
      </c>
      <c r="L56" s="20" t="n">
        <v>10</v>
      </c>
      <c r="M56" s="20" t="n">
        <v>11</v>
      </c>
      <c r="N56" s="20" t="n">
        <v>12</v>
      </c>
      <c r="O56" s="20" t="n">
        <v>13</v>
      </c>
      <c r="Q56" s="20" t="n">
        <v>5</v>
      </c>
      <c r="R56" s="20" t="n">
        <v>6</v>
      </c>
      <c r="S56" s="20" t="n">
        <v>7</v>
      </c>
      <c r="T56" s="20" t="n">
        <v>8</v>
      </c>
      <c r="U56" s="20" t="n">
        <v>9</v>
      </c>
      <c r="V56" s="20" t="n">
        <v>10</v>
      </c>
      <c r="W56" s="20" t="n">
        <v>11</v>
      </c>
    </row>
    <row r="57">
      <c r="A57" s="22">
        <f>IF(OR('Start here'!$B$5="",UPPER(SUBSTITUTE('Start here'!$B$6," ",""))=""),"",MID(UPPER(SUBSTITUTE('Start here'!$B$6," ","")),MOD(DATE(2027,10,3)-'Start here'!$B$5,LEN(UPPER(SUBSTITUTE('Start here'!$B$6," ",""))))+1,1))</f>
        <v/>
      </c>
      <c r="B57" s="22">
        <f>IF(OR('Start here'!$B$5="",UPPER(SUBSTITUTE('Start here'!$B$6," ",""))=""),"",MID(UPPER(SUBSTITUTE('Start here'!$B$6," ","")),MOD(DATE(2027,10,4)-'Start here'!$B$5,LEN(UPPER(SUBSTITUTE('Start here'!$B$6," ",""))))+1,1))</f>
        <v/>
      </c>
      <c r="C57" s="22">
        <f>IF(OR('Start here'!$B$5="",UPPER(SUBSTITUTE('Start here'!$B$6," ",""))=""),"",MID(UPPER(SUBSTITUTE('Start here'!$B$6," ","")),MOD(DATE(2027,10,5)-'Start here'!$B$5,LEN(UPPER(SUBSTITUTE('Start here'!$B$6," ",""))))+1,1))</f>
        <v/>
      </c>
      <c r="D57" s="22">
        <f>IF(OR('Start here'!$B$5="",UPPER(SUBSTITUTE('Start here'!$B$6," ",""))=""),"",MID(UPPER(SUBSTITUTE('Start here'!$B$6," ","")),MOD(DATE(2027,10,6)-'Start here'!$B$5,LEN(UPPER(SUBSTITUTE('Start here'!$B$6," ",""))))+1,1))</f>
        <v/>
      </c>
      <c r="E57" s="22">
        <f>IF(OR('Start here'!$B$5="",UPPER(SUBSTITUTE('Start here'!$B$6," ",""))=""),"",MID(UPPER(SUBSTITUTE('Start here'!$B$6," ","")),MOD(DATE(2027,10,7)-'Start here'!$B$5,LEN(UPPER(SUBSTITUTE('Start here'!$B$6," ",""))))+1,1))</f>
        <v/>
      </c>
      <c r="F57" s="22">
        <f>IF(OR('Start here'!$B$5="",UPPER(SUBSTITUTE('Start here'!$B$6," ",""))=""),"",MID(UPPER(SUBSTITUTE('Start here'!$B$6," ","")),MOD(DATE(2027,10,8)-'Start here'!$B$5,LEN(UPPER(SUBSTITUTE('Start here'!$B$6," ",""))))+1,1))</f>
        <v/>
      </c>
      <c r="G57" s="22">
        <f>IF(OR('Start here'!$B$5="",UPPER(SUBSTITUTE('Start here'!$B$6," ",""))=""),"",MID(UPPER(SUBSTITUTE('Start here'!$B$6," ","")),MOD(DATE(2027,10,9)-'Start here'!$B$5,LEN(UPPER(SUBSTITUTE('Start here'!$B$6," ",""))))+1,1))</f>
        <v/>
      </c>
      <c r="I57" s="22">
        <f>IF(OR('Start here'!$B$5="",UPPER(SUBSTITUTE('Start here'!$B$6," ",""))=""),"",MID(UPPER(SUBSTITUTE('Start here'!$B$6," ","")),MOD(DATE(2027,11,7)-'Start here'!$B$5,LEN(UPPER(SUBSTITUTE('Start here'!$B$6," ",""))))+1,1))</f>
        <v/>
      </c>
      <c r="J57" s="22">
        <f>IF(OR('Start here'!$B$5="",UPPER(SUBSTITUTE('Start here'!$B$6," ",""))=""),"",MID(UPPER(SUBSTITUTE('Start here'!$B$6," ","")),MOD(DATE(2027,11,8)-'Start here'!$B$5,LEN(UPPER(SUBSTITUTE('Start here'!$B$6," ",""))))+1,1))</f>
        <v/>
      </c>
      <c r="K57" s="22">
        <f>IF(OR('Start here'!$B$5="",UPPER(SUBSTITUTE('Start here'!$B$6," ",""))=""),"",MID(UPPER(SUBSTITUTE('Start here'!$B$6," ","")),MOD(DATE(2027,11,9)-'Start here'!$B$5,LEN(UPPER(SUBSTITUTE('Start here'!$B$6," ",""))))+1,1))</f>
        <v/>
      </c>
      <c r="L57" s="22">
        <f>IF(OR('Start here'!$B$5="",UPPER(SUBSTITUTE('Start here'!$B$6," ",""))=""),"",MID(UPPER(SUBSTITUTE('Start here'!$B$6," ","")),MOD(DATE(2027,11,10)-'Start here'!$B$5,LEN(UPPER(SUBSTITUTE('Start here'!$B$6," ",""))))+1,1))</f>
        <v/>
      </c>
      <c r="M57" s="22">
        <f>IF(OR('Start here'!$B$5="",UPPER(SUBSTITUTE('Start here'!$B$6," ",""))=""),"",MID(UPPER(SUBSTITUTE('Start here'!$B$6," ","")),MOD(DATE(2027,11,11)-'Start here'!$B$5,LEN(UPPER(SUBSTITUTE('Start here'!$B$6," ",""))))+1,1))</f>
        <v/>
      </c>
      <c r="N57" s="22">
        <f>IF(OR('Start here'!$B$5="",UPPER(SUBSTITUTE('Start here'!$B$6," ",""))=""),"",MID(UPPER(SUBSTITUTE('Start here'!$B$6," ","")),MOD(DATE(2027,11,12)-'Start here'!$B$5,LEN(UPPER(SUBSTITUTE('Start here'!$B$6," ",""))))+1,1))</f>
        <v/>
      </c>
      <c r="O57" s="22">
        <f>IF(OR('Start here'!$B$5="",UPPER(SUBSTITUTE('Start here'!$B$6," ",""))=""),"",MID(UPPER(SUBSTITUTE('Start here'!$B$6," ","")),MOD(DATE(2027,11,13)-'Start here'!$B$5,LEN(UPPER(SUBSTITUTE('Start here'!$B$6," ",""))))+1,1))</f>
        <v/>
      </c>
      <c r="Q57" s="22">
        <f>IF(OR('Start here'!$B$5="",UPPER(SUBSTITUTE('Start here'!$B$6," ",""))=""),"",MID(UPPER(SUBSTITUTE('Start here'!$B$6," ","")),MOD(DATE(2027,12,5)-'Start here'!$B$5,LEN(UPPER(SUBSTITUTE('Start here'!$B$6," ",""))))+1,1))</f>
        <v/>
      </c>
      <c r="R57" s="22">
        <f>IF(OR('Start here'!$B$5="",UPPER(SUBSTITUTE('Start here'!$B$6," ",""))=""),"",MID(UPPER(SUBSTITUTE('Start here'!$B$6," ","")),MOD(DATE(2027,12,6)-'Start here'!$B$5,LEN(UPPER(SUBSTITUTE('Start here'!$B$6," ",""))))+1,1))</f>
        <v/>
      </c>
      <c r="S57" s="22">
        <f>IF(OR('Start here'!$B$5="",UPPER(SUBSTITUTE('Start here'!$B$6," ",""))=""),"",MID(UPPER(SUBSTITUTE('Start here'!$B$6," ","")),MOD(DATE(2027,12,7)-'Start here'!$B$5,LEN(UPPER(SUBSTITUTE('Start here'!$B$6," ",""))))+1,1))</f>
        <v/>
      </c>
      <c r="T57" s="22">
        <f>IF(OR('Start here'!$B$5="",UPPER(SUBSTITUTE('Start here'!$B$6," ",""))=""),"",MID(UPPER(SUBSTITUTE('Start here'!$B$6," ","")),MOD(DATE(2027,12,8)-'Start here'!$B$5,LEN(UPPER(SUBSTITUTE('Start here'!$B$6," ",""))))+1,1))</f>
        <v/>
      </c>
      <c r="U57" s="22">
        <f>IF(OR('Start here'!$B$5="",UPPER(SUBSTITUTE('Start here'!$B$6," ",""))=""),"",MID(UPPER(SUBSTITUTE('Start here'!$B$6," ","")),MOD(DATE(2027,12,9)-'Start here'!$B$5,LEN(UPPER(SUBSTITUTE('Start here'!$B$6," ",""))))+1,1))</f>
        <v/>
      </c>
      <c r="V57" s="22">
        <f>IF(OR('Start here'!$B$5="",UPPER(SUBSTITUTE('Start here'!$B$6," ",""))=""),"",MID(UPPER(SUBSTITUTE('Start here'!$B$6," ","")),MOD(DATE(2027,12,10)-'Start here'!$B$5,LEN(UPPER(SUBSTITUTE('Start here'!$B$6," ",""))))+1,1))</f>
        <v/>
      </c>
      <c r="W57" s="22">
        <f>IF(OR('Start here'!$B$5="",UPPER(SUBSTITUTE('Start here'!$B$6," ",""))=""),"",MID(UPPER(SUBSTITUTE('Start here'!$B$6," ","")),MOD(DATE(2027,12,11)-'Start here'!$B$5,LEN(UPPER(SUBSTITUTE('Start here'!$B$6," ",""))))+1,1))</f>
        <v/>
      </c>
    </row>
    <row r="58">
      <c r="A58" s="20" t="n">
        <v>10</v>
      </c>
      <c r="B58" s="20" t="n">
        <v>11</v>
      </c>
      <c r="C58" s="20" t="n">
        <v>12</v>
      </c>
      <c r="D58" s="20" t="n">
        <v>13</v>
      </c>
      <c r="E58" s="20" t="n">
        <v>14</v>
      </c>
      <c r="F58" s="20" t="n">
        <v>15</v>
      </c>
      <c r="G58" s="20" t="n">
        <v>16</v>
      </c>
      <c r="I58" s="20" t="n">
        <v>14</v>
      </c>
      <c r="J58" s="20" t="n">
        <v>15</v>
      </c>
      <c r="K58" s="20" t="n">
        <v>16</v>
      </c>
      <c r="L58" s="20" t="n">
        <v>17</v>
      </c>
      <c r="M58" s="20" t="n">
        <v>18</v>
      </c>
      <c r="N58" s="20" t="n">
        <v>19</v>
      </c>
      <c r="O58" s="20" t="n">
        <v>20</v>
      </c>
      <c r="Q58" s="20" t="n">
        <v>12</v>
      </c>
      <c r="R58" s="20" t="n">
        <v>13</v>
      </c>
      <c r="S58" s="20" t="n">
        <v>14</v>
      </c>
      <c r="T58" s="20" t="n">
        <v>15</v>
      </c>
      <c r="U58" s="20" t="n">
        <v>16</v>
      </c>
      <c r="V58" s="20" t="n">
        <v>17</v>
      </c>
      <c r="W58" s="20" t="n">
        <v>18</v>
      </c>
    </row>
    <row r="59">
      <c r="A59" s="22">
        <f>IF(OR('Start here'!$B$5="",UPPER(SUBSTITUTE('Start here'!$B$6," ",""))=""),"",MID(UPPER(SUBSTITUTE('Start here'!$B$6," ","")),MOD(DATE(2027,10,10)-'Start here'!$B$5,LEN(UPPER(SUBSTITUTE('Start here'!$B$6," ",""))))+1,1))</f>
        <v/>
      </c>
      <c r="B59" s="22">
        <f>IF(OR('Start here'!$B$5="",UPPER(SUBSTITUTE('Start here'!$B$6," ",""))=""),"",MID(UPPER(SUBSTITUTE('Start here'!$B$6," ","")),MOD(DATE(2027,10,11)-'Start here'!$B$5,LEN(UPPER(SUBSTITUTE('Start here'!$B$6," ",""))))+1,1))</f>
        <v/>
      </c>
      <c r="C59" s="22">
        <f>IF(OR('Start here'!$B$5="",UPPER(SUBSTITUTE('Start here'!$B$6," ",""))=""),"",MID(UPPER(SUBSTITUTE('Start here'!$B$6," ","")),MOD(DATE(2027,10,12)-'Start here'!$B$5,LEN(UPPER(SUBSTITUTE('Start here'!$B$6," ",""))))+1,1))</f>
        <v/>
      </c>
      <c r="D59" s="22">
        <f>IF(OR('Start here'!$B$5="",UPPER(SUBSTITUTE('Start here'!$B$6," ",""))=""),"",MID(UPPER(SUBSTITUTE('Start here'!$B$6," ","")),MOD(DATE(2027,10,13)-'Start here'!$B$5,LEN(UPPER(SUBSTITUTE('Start here'!$B$6," ",""))))+1,1))</f>
        <v/>
      </c>
      <c r="E59" s="22">
        <f>IF(OR('Start here'!$B$5="",UPPER(SUBSTITUTE('Start here'!$B$6," ",""))=""),"",MID(UPPER(SUBSTITUTE('Start here'!$B$6," ","")),MOD(DATE(2027,10,14)-'Start here'!$B$5,LEN(UPPER(SUBSTITUTE('Start here'!$B$6," ",""))))+1,1))</f>
        <v/>
      </c>
      <c r="F59" s="22">
        <f>IF(OR('Start here'!$B$5="",UPPER(SUBSTITUTE('Start here'!$B$6," ",""))=""),"",MID(UPPER(SUBSTITUTE('Start here'!$B$6," ","")),MOD(DATE(2027,10,15)-'Start here'!$B$5,LEN(UPPER(SUBSTITUTE('Start here'!$B$6," ",""))))+1,1))</f>
        <v/>
      </c>
      <c r="G59" s="22">
        <f>IF(OR('Start here'!$B$5="",UPPER(SUBSTITUTE('Start here'!$B$6," ",""))=""),"",MID(UPPER(SUBSTITUTE('Start here'!$B$6," ","")),MOD(DATE(2027,10,16)-'Start here'!$B$5,LEN(UPPER(SUBSTITUTE('Start here'!$B$6," ",""))))+1,1))</f>
        <v/>
      </c>
      <c r="I59" s="22">
        <f>IF(OR('Start here'!$B$5="",UPPER(SUBSTITUTE('Start here'!$B$6," ",""))=""),"",MID(UPPER(SUBSTITUTE('Start here'!$B$6," ","")),MOD(DATE(2027,11,14)-'Start here'!$B$5,LEN(UPPER(SUBSTITUTE('Start here'!$B$6," ",""))))+1,1))</f>
        <v/>
      </c>
      <c r="J59" s="22">
        <f>IF(OR('Start here'!$B$5="",UPPER(SUBSTITUTE('Start here'!$B$6," ",""))=""),"",MID(UPPER(SUBSTITUTE('Start here'!$B$6," ","")),MOD(DATE(2027,11,15)-'Start here'!$B$5,LEN(UPPER(SUBSTITUTE('Start here'!$B$6," ",""))))+1,1))</f>
        <v/>
      </c>
      <c r="K59" s="22">
        <f>IF(OR('Start here'!$B$5="",UPPER(SUBSTITUTE('Start here'!$B$6," ",""))=""),"",MID(UPPER(SUBSTITUTE('Start here'!$B$6," ","")),MOD(DATE(2027,11,16)-'Start here'!$B$5,LEN(UPPER(SUBSTITUTE('Start here'!$B$6," ",""))))+1,1))</f>
        <v/>
      </c>
      <c r="L59" s="22">
        <f>IF(OR('Start here'!$B$5="",UPPER(SUBSTITUTE('Start here'!$B$6," ",""))=""),"",MID(UPPER(SUBSTITUTE('Start here'!$B$6," ","")),MOD(DATE(2027,11,17)-'Start here'!$B$5,LEN(UPPER(SUBSTITUTE('Start here'!$B$6," ",""))))+1,1))</f>
        <v/>
      </c>
      <c r="M59" s="22">
        <f>IF(OR('Start here'!$B$5="",UPPER(SUBSTITUTE('Start here'!$B$6," ",""))=""),"",MID(UPPER(SUBSTITUTE('Start here'!$B$6," ","")),MOD(DATE(2027,11,18)-'Start here'!$B$5,LEN(UPPER(SUBSTITUTE('Start here'!$B$6," ",""))))+1,1))</f>
        <v/>
      </c>
      <c r="N59" s="22">
        <f>IF(OR('Start here'!$B$5="",UPPER(SUBSTITUTE('Start here'!$B$6," ",""))=""),"",MID(UPPER(SUBSTITUTE('Start here'!$B$6," ","")),MOD(DATE(2027,11,19)-'Start here'!$B$5,LEN(UPPER(SUBSTITUTE('Start here'!$B$6," ",""))))+1,1))</f>
        <v/>
      </c>
      <c r="O59" s="22">
        <f>IF(OR('Start here'!$B$5="",UPPER(SUBSTITUTE('Start here'!$B$6," ",""))=""),"",MID(UPPER(SUBSTITUTE('Start here'!$B$6," ","")),MOD(DATE(2027,11,20)-'Start here'!$B$5,LEN(UPPER(SUBSTITUTE('Start here'!$B$6," ",""))))+1,1))</f>
        <v/>
      </c>
      <c r="Q59" s="22">
        <f>IF(OR('Start here'!$B$5="",UPPER(SUBSTITUTE('Start here'!$B$6," ",""))=""),"",MID(UPPER(SUBSTITUTE('Start here'!$B$6," ","")),MOD(DATE(2027,12,12)-'Start here'!$B$5,LEN(UPPER(SUBSTITUTE('Start here'!$B$6," ",""))))+1,1))</f>
        <v/>
      </c>
      <c r="R59" s="22">
        <f>IF(OR('Start here'!$B$5="",UPPER(SUBSTITUTE('Start here'!$B$6," ",""))=""),"",MID(UPPER(SUBSTITUTE('Start here'!$B$6," ","")),MOD(DATE(2027,12,13)-'Start here'!$B$5,LEN(UPPER(SUBSTITUTE('Start here'!$B$6," ",""))))+1,1))</f>
        <v/>
      </c>
      <c r="S59" s="22">
        <f>IF(OR('Start here'!$B$5="",UPPER(SUBSTITUTE('Start here'!$B$6," ",""))=""),"",MID(UPPER(SUBSTITUTE('Start here'!$B$6," ","")),MOD(DATE(2027,12,14)-'Start here'!$B$5,LEN(UPPER(SUBSTITUTE('Start here'!$B$6," ",""))))+1,1))</f>
        <v/>
      </c>
      <c r="T59" s="22">
        <f>IF(OR('Start here'!$B$5="",UPPER(SUBSTITUTE('Start here'!$B$6," ",""))=""),"",MID(UPPER(SUBSTITUTE('Start here'!$B$6," ","")),MOD(DATE(2027,12,15)-'Start here'!$B$5,LEN(UPPER(SUBSTITUTE('Start here'!$B$6," ",""))))+1,1))</f>
        <v/>
      </c>
      <c r="U59" s="22">
        <f>IF(OR('Start here'!$B$5="",UPPER(SUBSTITUTE('Start here'!$B$6," ",""))=""),"",MID(UPPER(SUBSTITUTE('Start here'!$B$6," ","")),MOD(DATE(2027,12,16)-'Start here'!$B$5,LEN(UPPER(SUBSTITUTE('Start here'!$B$6," ",""))))+1,1))</f>
        <v/>
      </c>
      <c r="V59" s="22">
        <f>IF(OR('Start here'!$B$5="",UPPER(SUBSTITUTE('Start here'!$B$6," ",""))=""),"",MID(UPPER(SUBSTITUTE('Start here'!$B$6," ","")),MOD(DATE(2027,12,17)-'Start here'!$B$5,LEN(UPPER(SUBSTITUTE('Start here'!$B$6," ",""))))+1,1))</f>
        <v/>
      </c>
      <c r="W59" s="22">
        <f>IF(OR('Start here'!$B$5="",UPPER(SUBSTITUTE('Start here'!$B$6," ",""))=""),"",MID(UPPER(SUBSTITUTE('Start here'!$B$6," ","")),MOD(DATE(2027,12,18)-'Start here'!$B$5,LEN(UPPER(SUBSTITUTE('Start here'!$B$6," ",""))))+1,1))</f>
        <v/>
      </c>
    </row>
    <row r="60">
      <c r="A60" s="20" t="n">
        <v>17</v>
      </c>
      <c r="B60" s="20" t="n">
        <v>18</v>
      </c>
      <c r="C60" s="20" t="n">
        <v>19</v>
      </c>
      <c r="D60" s="20" t="n">
        <v>20</v>
      </c>
      <c r="E60" s="20" t="n">
        <v>21</v>
      </c>
      <c r="F60" s="20" t="n">
        <v>22</v>
      </c>
      <c r="G60" s="20" t="n">
        <v>23</v>
      </c>
      <c r="I60" s="20" t="n">
        <v>21</v>
      </c>
      <c r="J60" s="20" t="n">
        <v>22</v>
      </c>
      <c r="K60" s="20" t="n">
        <v>23</v>
      </c>
      <c r="L60" s="20" t="n">
        <v>24</v>
      </c>
      <c r="M60" s="20" t="n">
        <v>25</v>
      </c>
      <c r="N60" s="20" t="n">
        <v>26</v>
      </c>
      <c r="O60" s="20" t="n">
        <v>27</v>
      </c>
      <c r="Q60" s="20" t="n">
        <v>19</v>
      </c>
      <c r="R60" s="20" t="n">
        <v>20</v>
      </c>
      <c r="S60" s="20" t="n">
        <v>21</v>
      </c>
      <c r="T60" s="20" t="n">
        <v>22</v>
      </c>
      <c r="U60" s="20" t="n">
        <v>23</v>
      </c>
      <c r="V60" s="20" t="n">
        <v>24</v>
      </c>
      <c r="W60" s="20" t="n">
        <v>25</v>
      </c>
    </row>
    <row r="61">
      <c r="A61" s="22">
        <f>IF(OR('Start here'!$B$5="",UPPER(SUBSTITUTE('Start here'!$B$6," ",""))=""),"",MID(UPPER(SUBSTITUTE('Start here'!$B$6," ","")),MOD(DATE(2027,10,17)-'Start here'!$B$5,LEN(UPPER(SUBSTITUTE('Start here'!$B$6," ",""))))+1,1))</f>
        <v/>
      </c>
      <c r="B61" s="22">
        <f>IF(OR('Start here'!$B$5="",UPPER(SUBSTITUTE('Start here'!$B$6," ",""))=""),"",MID(UPPER(SUBSTITUTE('Start here'!$B$6," ","")),MOD(DATE(2027,10,18)-'Start here'!$B$5,LEN(UPPER(SUBSTITUTE('Start here'!$B$6," ",""))))+1,1))</f>
        <v/>
      </c>
      <c r="C61" s="22">
        <f>IF(OR('Start here'!$B$5="",UPPER(SUBSTITUTE('Start here'!$B$6," ",""))=""),"",MID(UPPER(SUBSTITUTE('Start here'!$B$6," ","")),MOD(DATE(2027,10,19)-'Start here'!$B$5,LEN(UPPER(SUBSTITUTE('Start here'!$B$6," ",""))))+1,1))</f>
        <v/>
      </c>
      <c r="D61" s="22">
        <f>IF(OR('Start here'!$B$5="",UPPER(SUBSTITUTE('Start here'!$B$6," ",""))=""),"",MID(UPPER(SUBSTITUTE('Start here'!$B$6," ","")),MOD(DATE(2027,10,20)-'Start here'!$B$5,LEN(UPPER(SUBSTITUTE('Start here'!$B$6," ",""))))+1,1))</f>
        <v/>
      </c>
      <c r="E61" s="22">
        <f>IF(OR('Start here'!$B$5="",UPPER(SUBSTITUTE('Start here'!$B$6," ",""))=""),"",MID(UPPER(SUBSTITUTE('Start here'!$B$6," ","")),MOD(DATE(2027,10,21)-'Start here'!$B$5,LEN(UPPER(SUBSTITUTE('Start here'!$B$6," ",""))))+1,1))</f>
        <v/>
      </c>
      <c r="F61" s="22">
        <f>IF(OR('Start here'!$B$5="",UPPER(SUBSTITUTE('Start here'!$B$6," ",""))=""),"",MID(UPPER(SUBSTITUTE('Start here'!$B$6," ","")),MOD(DATE(2027,10,22)-'Start here'!$B$5,LEN(UPPER(SUBSTITUTE('Start here'!$B$6," ",""))))+1,1))</f>
        <v/>
      </c>
      <c r="G61" s="22">
        <f>IF(OR('Start here'!$B$5="",UPPER(SUBSTITUTE('Start here'!$B$6," ",""))=""),"",MID(UPPER(SUBSTITUTE('Start here'!$B$6," ","")),MOD(DATE(2027,10,23)-'Start here'!$B$5,LEN(UPPER(SUBSTITUTE('Start here'!$B$6," ",""))))+1,1))</f>
        <v/>
      </c>
      <c r="I61" s="22">
        <f>IF(OR('Start here'!$B$5="",UPPER(SUBSTITUTE('Start here'!$B$6," ",""))=""),"",MID(UPPER(SUBSTITUTE('Start here'!$B$6," ","")),MOD(DATE(2027,11,21)-'Start here'!$B$5,LEN(UPPER(SUBSTITUTE('Start here'!$B$6," ",""))))+1,1))</f>
        <v/>
      </c>
      <c r="J61" s="22">
        <f>IF(OR('Start here'!$B$5="",UPPER(SUBSTITUTE('Start here'!$B$6," ",""))=""),"",MID(UPPER(SUBSTITUTE('Start here'!$B$6," ","")),MOD(DATE(2027,11,22)-'Start here'!$B$5,LEN(UPPER(SUBSTITUTE('Start here'!$B$6," ",""))))+1,1))</f>
        <v/>
      </c>
      <c r="K61" s="22">
        <f>IF(OR('Start here'!$B$5="",UPPER(SUBSTITUTE('Start here'!$B$6," ",""))=""),"",MID(UPPER(SUBSTITUTE('Start here'!$B$6," ","")),MOD(DATE(2027,11,23)-'Start here'!$B$5,LEN(UPPER(SUBSTITUTE('Start here'!$B$6," ",""))))+1,1))</f>
        <v/>
      </c>
      <c r="L61" s="22">
        <f>IF(OR('Start here'!$B$5="",UPPER(SUBSTITUTE('Start here'!$B$6," ",""))=""),"",MID(UPPER(SUBSTITUTE('Start here'!$B$6," ","")),MOD(DATE(2027,11,24)-'Start here'!$B$5,LEN(UPPER(SUBSTITUTE('Start here'!$B$6," ",""))))+1,1))</f>
        <v/>
      </c>
      <c r="M61" s="22">
        <f>IF(OR('Start here'!$B$5="",UPPER(SUBSTITUTE('Start here'!$B$6," ",""))=""),"",MID(UPPER(SUBSTITUTE('Start here'!$B$6," ","")),MOD(DATE(2027,11,25)-'Start here'!$B$5,LEN(UPPER(SUBSTITUTE('Start here'!$B$6," ",""))))+1,1))</f>
        <v/>
      </c>
      <c r="N61" s="22">
        <f>IF(OR('Start here'!$B$5="",UPPER(SUBSTITUTE('Start here'!$B$6," ",""))=""),"",MID(UPPER(SUBSTITUTE('Start here'!$B$6," ","")),MOD(DATE(2027,11,26)-'Start here'!$B$5,LEN(UPPER(SUBSTITUTE('Start here'!$B$6," ",""))))+1,1))</f>
        <v/>
      </c>
      <c r="O61" s="22">
        <f>IF(OR('Start here'!$B$5="",UPPER(SUBSTITUTE('Start here'!$B$6," ",""))=""),"",MID(UPPER(SUBSTITUTE('Start here'!$B$6," ","")),MOD(DATE(2027,11,27)-'Start here'!$B$5,LEN(UPPER(SUBSTITUTE('Start here'!$B$6," ",""))))+1,1))</f>
        <v/>
      </c>
      <c r="Q61" s="22">
        <f>IF(OR('Start here'!$B$5="",UPPER(SUBSTITUTE('Start here'!$B$6," ",""))=""),"",MID(UPPER(SUBSTITUTE('Start here'!$B$6," ","")),MOD(DATE(2027,12,19)-'Start here'!$B$5,LEN(UPPER(SUBSTITUTE('Start here'!$B$6," ",""))))+1,1))</f>
        <v/>
      </c>
      <c r="R61" s="22">
        <f>IF(OR('Start here'!$B$5="",UPPER(SUBSTITUTE('Start here'!$B$6," ",""))=""),"",MID(UPPER(SUBSTITUTE('Start here'!$B$6," ","")),MOD(DATE(2027,12,20)-'Start here'!$B$5,LEN(UPPER(SUBSTITUTE('Start here'!$B$6," ",""))))+1,1))</f>
        <v/>
      </c>
      <c r="S61" s="22">
        <f>IF(OR('Start here'!$B$5="",UPPER(SUBSTITUTE('Start here'!$B$6," ",""))=""),"",MID(UPPER(SUBSTITUTE('Start here'!$B$6," ","")),MOD(DATE(2027,12,21)-'Start here'!$B$5,LEN(UPPER(SUBSTITUTE('Start here'!$B$6," ",""))))+1,1))</f>
        <v/>
      </c>
      <c r="T61" s="22">
        <f>IF(OR('Start here'!$B$5="",UPPER(SUBSTITUTE('Start here'!$B$6," ",""))=""),"",MID(UPPER(SUBSTITUTE('Start here'!$B$6," ","")),MOD(DATE(2027,12,22)-'Start here'!$B$5,LEN(UPPER(SUBSTITUTE('Start here'!$B$6," ",""))))+1,1))</f>
        <v/>
      </c>
      <c r="U61" s="22">
        <f>IF(OR('Start here'!$B$5="",UPPER(SUBSTITUTE('Start here'!$B$6," ",""))=""),"",MID(UPPER(SUBSTITUTE('Start here'!$B$6," ","")),MOD(DATE(2027,12,23)-'Start here'!$B$5,LEN(UPPER(SUBSTITUTE('Start here'!$B$6," ",""))))+1,1))</f>
        <v/>
      </c>
      <c r="V61" s="22">
        <f>IF(OR('Start here'!$B$5="",UPPER(SUBSTITUTE('Start here'!$B$6," ",""))=""),"",MID(UPPER(SUBSTITUTE('Start here'!$B$6," ","")),MOD(DATE(2027,12,24)-'Start here'!$B$5,LEN(UPPER(SUBSTITUTE('Start here'!$B$6," ",""))))+1,1))</f>
        <v/>
      </c>
      <c r="W61" s="22">
        <f>IF(OR('Start here'!$B$5="",UPPER(SUBSTITUTE('Start here'!$B$6," ",""))=""),"",MID(UPPER(SUBSTITUTE('Start here'!$B$6," ","")),MOD(DATE(2027,12,25)-'Start here'!$B$5,LEN(UPPER(SUBSTITUTE('Start here'!$B$6," ",""))))+1,1))</f>
        <v/>
      </c>
    </row>
    <row r="62">
      <c r="A62" s="20" t="n">
        <v>24</v>
      </c>
      <c r="B62" s="20" t="n">
        <v>25</v>
      </c>
      <c r="C62" s="20" t="n">
        <v>26</v>
      </c>
      <c r="D62" s="20" t="n">
        <v>27</v>
      </c>
      <c r="E62" s="20" t="n">
        <v>28</v>
      </c>
      <c r="F62" s="20" t="n">
        <v>29</v>
      </c>
      <c r="G62" s="20" t="n">
        <v>30</v>
      </c>
      <c r="I62" s="20" t="n">
        <v>28</v>
      </c>
      <c r="J62" s="20" t="n">
        <v>29</v>
      </c>
      <c r="K62" s="20" t="n">
        <v>30</v>
      </c>
      <c r="L62" s="19" t="n"/>
      <c r="M62" s="19" t="n"/>
      <c r="N62" s="19" t="n"/>
      <c r="O62" s="19" t="n"/>
      <c r="Q62" s="20" t="n">
        <v>26</v>
      </c>
      <c r="R62" s="20" t="n">
        <v>27</v>
      </c>
      <c r="S62" s="20" t="n">
        <v>28</v>
      </c>
      <c r="T62" s="20" t="n">
        <v>29</v>
      </c>
      <c r="U62" s="20" t="n">
        <v>30</v>
      </c>
      <c r="V62" s="20" t="n">
        <v>31</v>
      </c>
      <c r="W62" s="19" t="n"/>
    </row>
    <row r="63">
      <c r="A63" s="22">
        <f>IF(OR('Start here'!$B$5="",UPPER(SUBSTITUTE('Start here'!$B$6," ",""))=""),"",MID(UPPER(SUBSTITUTE('Start here'!$B$6," ","")),MOD(DATE(2027,10,24)-'Start here'!$B$5,LEN(UPPER(SUBSTITUTE('Start here'!$B$6," ",""))))+1,1))</f>
        <v/>
      </c>
      <c r="B63" s="22">
        <f>IF(OR('Start here'!$B$5="",UPPER(SUBSTITUTE('Start here'!$B$6," ",""))=""),"",MID(UPPER(SUBSTITUTE('Start here'!$B$6," ","")),MOD(DATE(2027,10,25)-'Start here'!$B$5,LEN(UPPER(SUBSTITUTE('Start here'!$B$6," ",""))))+1,1))</f>
        <v/>
      </c>
      <c r="C63" s="22">
        <f>IF(OR('Start here'!$B$5="",UPPER(SUBSTITUTE('Start here'!$B$6," ",""))=""),"",MID(UPPER(SUBSTITUTE('Start here'!$B$6," ","")),MOD(DATE(2027,10,26)-'Start here'!$B$5,LEN(UPPER(SUBSTITUTE('Start here'!$B$6," ",""))))+1,1))</f>
        <v/>
      </c>
      <c r="D63" s="22">
        <f>IF(OR('Start here'!$B$5="",UPPER(SUBSTITUTE('Start here'!$B$6," ",""))=""),"",MID(UPPER(SUBSTITUTE('Start here'!$B$6," ","")),MOD(DATE(2027,10,27)-'Start here'!$B$5,LEN(UPPER(SUBSTITUTE('Start here'!$B$6," ",""))))+1,1))</f>
        <v/>
      </c>
      <c r="E63" s="22">
        <f>IF(OR('Start here'!$B$5="",UPPER(SUBSTITUTE('Start here'!$B$6," ",""))=""),"",MID(UPPER(SUBSTITUTE('Start here'!$B$6," ","")),MOD(DATE(2027,10,28)-'Start here'!$B$5,LEN(UPPER(SUBSTITUTE('Start here'!$B$6," ",""))))+1,1))</f>
        <v/>
      </c>
      <c r="F63" s="22">
        <f>IF(OR('Start here'!$B$5="",UPPER(SUBSTITUTE('Start here'!$B$6," ",""))=""),"",MID(UPPER(SUBSTITUTE('Start here'!$B$6," ","")),MOD(DATE(2027,10,29)-'Start here'!$B$5,LEN(UPPER(SUBSTITUTE('Start here'!$B$6," ",""))))+1,1))</f>
        <v/>
      </c>
      <c r="G63" s="22">
        <f>IF(OR('Start here'!$B$5="",UPPER(SUBSTITUTE('Start here'!$B$6," ",""))=""),"",MID(UPPER(SUBSTITUTE('Start here'!$B$6," ","")),MOD(DATE(2027,10,30)-'Start here'!$B$5,LEN(UPPER(SUBSTITUTE('Start here'!$B$6," ",""))))+1,1))</f>
        <v/>
      </c>
      <c r="I63" s="22">
        <f>IF(OR('Start here'!$B$5="",UPPER(SUBSTITUTE('Start here'!$B$6," ",""))=""),"",MID(UPPER(SUBSTITUTE('Start here'!$B$6," ","")),MOD(DATE(2027,11,28)-'Start here'!$B$5,LEN(UPPER(SUBSTITUTE('Start here'!$B$6," ",""))))+1,1))</f>
        <v/>
      </c>
      <c r="J63" s="22">
        <f>IF(OR('Start here'!$B$5="",UPPER(SUBSTITUTE('Start here'!$B$6," ",""))=""),"",MID(UPPER(SUBSTITUTE('Start here'!$B$6," ","")),MOD(DATE(2027,11,29)-'Start here'!$B$5,LEN(UPPER(SUBSTITUTE('Start here'!$B$6," ",""))))+1,1))</f>
        <v/>
      </c>
      <c r="K63" s="22">
        <f>IF(OR('Start here'!$B$5="",UPPER(SUBSTITUTE('Start here'!$B$6," ",""))=""),"",MID(UPPER(SUBSTITUTE('Start here'!$B$6," ","")),MOD(DATE(2027,11,30)-'Start here'!$B$5,LEN(UPPER(SUBSTITUTE('Start here'!$B$6," ",""))))+1,1))</f>
        <v/>
      </c>
      <c r="L63" s="21" t="n"/>
      <c r="M63" s="21" t="n"/>
      <c r="N63" s="21" t="n"/>
      <c r="O63" s="21" t="n"/>
      <c r="Q63" s="22">
        <f>IF(OR('Start here'!$B$5="",UPPER(SUBSTITUTE('Start here'!$B$6," ",""))=""),"",MID(UPPER(SUBSTITUTE('Start here'!$B$6," ","")),MOD(DATE(2027,12,26)-'Start here'!$B$5,LEN(UPPER(SUBSTITUTE('Start here'!$B$6," ",""))))+1,1))</f>
        <v/>
      </c>
      <c r="R63" s="22">
        <f>IF(OR('Start here'!$B$5="",UPPER(SUBSTITUTE('Start here'!$B$6," ",""))=""),"",MID(UPPER(SUBSTITUTE('Start here'!$B$6," ","")),MOD(DATE(2027,12,27)-'Start here'!$B$5,LEN(UPPER(SUBSTITUTE('Start here'!$B$6," ",""))))+1,1))</f>
        <v/>
      </c>
      <c r="S63" s="22">
        <f>IF(OR('Start here'!$B$5="",UPPER(SUBSTITUTE('Start here'!$B$6," ",""))=""),"",MID(UPPER(SUBSTITUTE('Start here'!$B$6," ","")),MOD(DATE(2027,12,28)-'Start here'!$B$5,LEN(UPPER(SUBSTITUTE('Start here'!$B$6," ",""))))+1,1))</f>
        <v/>
      </c>
      <c r="T63" s="22">
        <f>IF(OR('Start here'!$B$5="",UPPER(SUBSTITUTE('Start here'!$B$6," ",""))=""),"",MID(UPPER(SUBSTITUTE('Start here'!$B$6," ","")),MOD(DATE(2027,12,29)-'Start here'!$B$5,LEN(UPPER(SUBSTITUTE('Start here'!$B$6," ",""))))+1,1))</f>
        <v/>
      </c>
      <c r="U63" s="22">
        <f>IF(OR('Start here'!$B$5="",UPPER(SUBSTITUTE('Start here'!$B$6," ",""))=""),"",MID(UPPER(SUBSTITUTE('Start here'!$B$6," ","")),MOD(DATE(2027,12,30)-'Start here'!$B$5,LEN(UPPER(SUBSTITUTE('Start here'!$B$6," ",""))))+1,1))</f>
        <v/>
      </c>
      <c r="V63" s="22">
        <f>IF(OR('Start here'!$B$5="",UPPER(SUBSTITUTE('Start here'!$B$6," ",""))=""),"",MID(UPPER(SUBSTITUTE('Start here'!$B$6," ","")),MOD(DATE(2027,12,31)-'Start here'!$B$5,LEN(UPPER(SUBSTITUTE('Start here'!$B$6," ",""))))+1,1))</f>
        <v/>
      </c>
      <c r="W63" s="21" t="n"/>
    </row>
    <row r="64">
      <c r="A64" s="20" t="n">
        <v>31</v>
      </c>
      <c r="B64" s="19" t="n"/>
      <c r="C64" s="19" t="n"/>
      <c r="D64" s="19" t="n"/>
      <c r="E64" s="19" t="n"/>
      <c r="F64" s="19" t="n"/>
      <c r="G64" s="19" t="n"/>
      <c r="I64" s="19" t="n"/>
      <c r="J64" s="19" t="n"/>
      <c r="K64" s="19" t="n"/>
      <c r="L64" s="19" t="n"/>
      <c r="M64" s="19" t="n"/>
      <c r="N64" s="19" t="n"/>
      <c r="O64" s="19" t="n"/>
      <c r="Q64" s="19" t="n"/>
      <c r="R64" s="19" t="n"/>
      <c r="S64" s="19" t="n"/>
      <c r="T64" s="19" t="n"/>
      <c r="U64" s="19" t="n"/>
      <c r="V64" s="19" t="n"/>
      <c r="W64" s="19" t="n"/>
    </row>
    <row r="65">
      <c r="A65" s="22">
        <f>IF(OR('Start here'!$B$5="",UPPER(SUBSTITUTE('Start here'!$B$6," ",""))=""),"",MID(UPPER(SUBSTITUTE('Start here'!$B$6," ","")),MOD(DATE(2027,10,31)-'Start here'!$B$5,LEN(UPPER(SUBSTITUTE('Start here'!$B$6," ",""))))+1,1))</f>
        <v/>
      </c>
      <c r="B65" s="21" t="n"/>
      <c r="C65" s="21" t="n"/>
      <c r="D65" s="21" t="n"/>
      <c r="E65" s="21" t="n"/>
      <c r="F65" s="21" t="n"/>
      <c r="G65" s="21" t="n"/>
      <c r="I65" s="21" t="n"/>
      <c r="J65" s="21" t="n"/>
      <c r="K65" s="21" t="n"/>
      <c r="L65" s="21" t="n"/>
      <c r="M65" s="21" t="n"/>
      <c r="N65" s="21" t="n"/>
      <c r="O65" s="21" t="n"/>
      <c r="Q65" s="21" t="n"/>
      <c r="R65" s="21" t="n"/>
      <c r="S65" s="21" t="n"/>
      <c r="T65" s="21" t="n"/>
      <c r="U65" s="21" t="n"/>
      <c r="V65" s="21" t="n"/>
      <c r="W65" s="21" t="n"/>
    </row>
    <row r="66">
      <c r="A66" s="23" t="inlineStr">
        <is>
          <t>Nights A</t>
        </is>
      </c>
      <c r="C66" s="24">
        <f>COUNTIF(A55:G65,"A")</f>
        <v/>
      </c>
      <c r="E66" s="23" t="inlineStr">
        <is>
          <t>B</t>
        </is>
      </c>
      <c r="F66" s="24">
        <f>COUNTIF(A55:G65,"B")</f>
        <v/>
      </c>
      <c r="I66" s="23" t="inlineStr">
        <is>
          <t>Nights A</t>
        </is>
      </c>
      <c r="K66" s="24">
        <f>COUNTIF(I55:O65,"A")</f>
        <v/>
      </c>
      <c r="M66" s="23" t="inlineStr">
        <is>
          <t>B</t>
        </is>
      </c>
      <c r="N66" s="24">
        <f>COUNTIF(I55:O65,"B")</f>
        <v/>
      </c>
      <c r="Q66" s="23" t="inlineStr">
        <is>
          <t>Nights A</t>
        </is>
      </c>
      <c r="S66" s="24">
        <f>COUNTIF(Q55:W65,"A")</f>
        <v/>
      </c>
      <c r="U66" s="23" t="inlineStr">
        <is>
          <t>B</t>
        </is>
      </c>
      <c r="V66" s="24">
        <f>COUNTIF(Q55:W65,"B")</f>
        <v/>
      </c>
    </row>
  </sheetData>
  <mergeCells count="12">
    <mergeCell ref="A36:G36"/>
    <mergeCell ref="I36:O36"/>
    <mergeCell ref="Q36:W36"/>
    <mergeCell ref="I52:O52"/>
    <mergeCell ref="Q52:W52"/>
    <mergeCell ref="Q4:W4"/>
    <mergeCell ref="A4:G4"/>
    <mergeCell ref="A20:G20"/>
    <mergeCell ref="I4:O4"/>
    <mergeCell ref="I20:O20"/>
    <mergeCell ref="A52:G52"/>
    <mergeCell ref="Q20:W20"/>
  </mergeCells>
  <conditionalFormatting sqref="A7:G17">
    <cfRule type="cellIs" priority="1" operator="equal" dxfId="0">
      <formula>"A"</formula>
    </cfRule>
    <cfRule type="cellIs" priority="2" operator="equal" dxfId="1">
      <formula>"B"</formula>
    </cfRule>
  </conditionalFormatting>
  <conditionalFormatting sqref="I7:O17">
    <cfRule type="cellIs" priority="3" operator="equal" dxfId="0">
      <formula>"A"</formula>
    </cfRule>
    <cfRule type="cellIs" priority="4" operator="equal" dxfId="1">
      <formula>"B"</formula>
    </cfRule>
  </conditionalFormatting>
  <conditionalFormatting sqref="Q7:W17">
    <cfRule type="cellIs" priority="5" operator="equal" dxfId="0">
      <formula>"A"</formula>
    </cfRule>
    <cfRule type="cellIs" priority="6" operator="equal" dxfId="1">
      <formula>"B"</formula>
    </cfRule>
  </conditionalFormatting>
  <conditionalFormatting sqref="A23:G33">
    <cfRule type="cellIs" priority="7" operator="equal" dxfId="0">
      <formula>"A"</formula>
    </cfRule>
    <cfRule type="cellIs" priority="8" operator="equal" dxfId="1">
      <formula>"B"</formula>
    </cfRule>
  </conditionalFormatting>
  <conditionalFormatting sqref="I23:O33">
    <cfRule type="cellIs" priority="9" operator="equal" dxfId="0">
      <formula>"A"</formula>
    </cfRule>
    <cfRule type="cellIs" priority="10" operator="equal" dxfId="1">
      <formula>"B"</formula>
    </cfRule>
  </conditionalFormatting>
  <conditionalFormatting sqref="Q23:W33">
    <cfRule type="cellIs" priority="11" operator="equal" dxfId="0">
      <formula>"A"</formula>
    </cfRule>
    <cfRule type="cellIs" priority="12" operator="equal" dxfId="1">
      <formula>"B"</formula>
    </cfRule>
  </conditionalFormatting>
  <conditionalFormatting sqref="A39:G49">
    <cfRule type="cellIs" priority="13" operator="equal" dxfId="0">
      <formula>"A"</formula>
    </cfRule>
    <cfRule type="cellIs" priority="14" operator="equal" dxfId="1">
      <formula>"B"</formula>
    </cfRule>
  </conditionalFormatting>
  <conditionalFormatting sqref="I39:O49">
    <cfRule type="cellIs" priority="15" operator="equal" dxfId="0">
      <formula>"A"</formula>
    </cfRule>
    <cfRule type="cellIs" priority="16" operator="equal" dxfId="1">
      <formula>"B"</formula>
    </cfRule>
  </conditionalFormatting>
  <conditionalFormatting sqref="Q39:W49">
    <cfRule type="cellIs" priority="17" operator="equal" dxfId="0">
      <formula>"A"</formula>
    </cfRule>
    <cfRule type="cellIs" priority="18" operator="equal" dxfId="1">
      <formula>"B"</formula>
    </cfRule>
  </conditionalFormatting>
  <conditionalFormatting sqref="A55:G65">
    <cfRule type="cellIs" priority="19" operator="equal" dxfId="0">
      <formula>"A"</formula>
    </cfRule>
    <cfRule type="cellIs" priority="20" operator="equal" dxfId="1">
      <formula>"B"</formula>
    </cfRule>
  </conditionalFormatting>
  <conditionalFormatting sqref="I55:O65">
    <cfRule type="cellIs" priority="21" operator="equal" dxfId="0">
      <formula>"A"</formula>
    </cfRule>
    <cfRule type="cellIs" priority="22" operator="equal" dxfId="1">
      <formula>"B"</formula>
    </cfRule>
  </conditionalFormatting>
  <conditionalFormatting sqref="Q55:W65">
    <cfRule type="cellIs" priority="23" operator="equal" dxfId="0">
      <formula>"A"</formula>
    </cfRule>
    <cfRule type="cellIs" priority="24" operator="equal" dxfId="1">
      <formula>"B"</formula>
    </cfRule>
  </conditionalFormatting>
  <dataValidations count="1">
    <dataValidation sqref="A9 A11 A13 A15 A17 A25 A27 A29 A31 A41 A43 A45 A47 A57 A59 A61 A63 A65 B9 B11 B13 B15 B25 B27 B29 B31 B41 B43 B45 B47 B57 B59 B61 B63 C9 C11 C13 C15 C25 C27 C29 C31 C41 C43 C45 C47 C57 C59 C61 C63 D9 D11 D13 D15 D25 D27 D29 D31 D41 D43 D45 D47 D57 D59 D61 D63 E9 E11 E13 E15 E23 E25 E27 E29 E31 E39 E41 E43 E45 E47 E57 E59 E61 E63 F7 F9 F11 F13 F15 F23 F25 F27 F29 F31 F39 F41 F43 F45 F47 F55 F57 F59 F61 F63 G7 G9 G11 G13 G15 G23 G25 G27 G29 G39 G41 G43 G45 G47 G55 G57 G59 G61 G63 I9 I11 I13 I15 I25 I27 I29 I31 I33 I39 I41 I43 I45 I47 I57 I59 I61 I63 J7 J9 J11 J13 J25 J27 J29 J31 J33 J39 J41 J43 J45 J47 J55 J57 J59 J61 J63 K7 K9 K11 K13 K25 K27 K29 K31 K39 K41 K43 K45 K47 K55 K57 K59 K61 K63 L7 L9 L11 L13 L25 L27 L29 L31 L39 L41 L43 L45 L55 L57 L59 L61 M7 M9 M11 M13 M25 M27 M29 M31 M39 M41 M43 M45 M55 M57 M59 M61 N7 N9 N11 N13 N25 N27 N29 N31 N39 N41 N43 N45 N55 N57 N59 N61 O7 O9 O11 O13 O23 O25 O27 O29 O31 O39 O41 O43 O45 O55 O57 O59 O61 Q9 Q11 Q13 Q15 Q25 Q27 Q29 Q31 Q41 Q43 Q45 Q47 Q57 Q59 Q61 Q63 R7 R9 R11 R13 R15 R25 R27 R29 R31 R41 R43 R45 R47 R57 R59 R61 R63 S7 S9 S11 S13 S15 S23 S25 S27 S29 S31 S41 S43 S45 S47 S57 S59 S61 S63 T7 T9 T11 T13 T15 T23 T25 T27 T29 T31 T39 T41 T43 T45 T47 T55 T57 T59 T61 T63 U7 U9 U11 U13 U23 U25 U27 U29 U39 U41 U43 U45 U47 U55 U57 U59 U61 U63 V7 V9 V11 V13 V23 V25 V27 V29 V39 V41 V43 V45 V55 V57 V59 V61 V63 W7 W9 W11 W13 W23 W25 W27 W29 W39 W41 W43 W45 W55 W57 W59 W61" showDropDown="0" showInputMessage="0" showErrorMessage="0" allowBlank="1" type="list">
      <formula1>"A,B"</formula1>
    </dataValidation>
  </dataValidations>
  <pageMargins left="0.75" right="0.75" top="1" bottom="1" header="0.5" footer="0.5"/>
  <pageSetup orientation="landscape"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2026-10-25T16:37:34Z</dcterms:created>
  <dcterms:modified xsi:type="dcterms:W3CDTF">2026-10-25T16:37:34Z</dcterms:modified>
</cp:coreProperties>
</file>